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50-Mód 5, MA de ECA\01-MA Glucemia Intev vs Conv\"/>
    </mc:Choice>
  </mc:AlternateContent>
  <bookViews>
    <workbookView xWindow="0" yWindow="0" windowWidth="20490" windowHeight="7365" tabRatio="664"/>
  </bookViews>
  <sheets>
    <sheet name="Mort" sheetId="14" r:id="rId1"/>
    <sheet name="IAM fatal" sheetId="12" r:id="rId2"/>
    <sheet name="IAM no f" sheetId="13" r:id="rId3"/>
    <sheet name="EnfCor" sheetId="16" r:id="rId4"/>
    <sheet name="ACV" sheetId="15" r:id="rId5"/>
    <sheet name="HIpoGlucGrav" sheetId="17" r:id="rId6"/>
    <sheet name="Cálculo MA" sheetId="1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8" l="1"/>
  <c r="L10" i="18" s="1"/>
  <c r="M10" i="18" s="1"/>
  <c r="G10" i="18"/>
  <c r="K10" i="18"/>
  <c r="Q10" i="18" s="1"/>
  <c r="P10" i="18"/>
  <c r="S10" i="18"/>
  <c r="AQ10" i="18"/>
  <c r="D11" i="18"/>
  <c r="G11" i="18"/>
  <c r="L11" i="18" s="1"/>
  <c r="M11" i="18" s="1"/>
  <c r="K11" i="18"/>
  <c r="Q11" i="18" s="1"/>
  <c r="S11" i="18"/>
  <c r="AQ11" i="18"/>
  <c r="K22" i="18"/>
  <c r="N22" i="18" s="1"/>
  <c r="L22" i="18"/>
  <c r="M22" i="18" s="1"/>
  <c r="S22" i="18"/>
  <c r="AQ22" i="18"/>
  <c r="K23" i="18"/>
  <c r="P23" i="18" s="1"/>
  <c r="L23" i="18"/>
  <c r="M23" i="18" s="1"/>
  <c r="S23" i="18"/>
  <c r="AQ23" i="18"/>
  <c r="K34" i="18"/>
  <c r="P34" i="18" s="1"/>
  <c r="L34" i="18"/>
  <c r="M34" i="18" s="1"/>
  <c r="S34" i="18"/>
  <c r="AQ34" i="18"/>
  <c r="K35" i="18"/>
  <c r="P35" i="18" s="1"/>
  <c r="L35" i="18"/>
  <c r="M35" i="18" s="1"/>
  <c r="S35" i="18"/>
  <c r="AQ35" i="18"/>
  <c r="Q34" i="18" l="1"/>
  <c r="N34" i="18"/>
  <c r="Z34" i="18" s="1"/>
  <c r="AI10" i="18"/>
  <c r="R10" i="18"/>
  <c r="U10" i="18" s="1"/>
  <c r="W10" i="18" s="1"/>
  <c r="AE10" i="18"/>
  <c r="Q22" i="18"/>
  <c r="P22" i="18"/>
  <c r="N10" i="18"/>
  <c r="AI11" i="18"/>
  <c r="R11" i="18"/>
  <c r="AE11" i="18"/>
  <c r="P11" i="18"/>
  <c r="N11" i="18"/>
  <c r="O11" i="18" s="1"/>
  <c r="O22" i="18"/>
  <c r="AI22" i="18"/>
  <c r="R22" i="18"/>
  <c r="AE22" i="18"/>
  <c r="AI23" i="18"/>
  <c r="R23" i="18"/>
  <c r="T23" i="18" s="1"/>
  <c r="V23" i="18" s="1"/>
  <c r="AE23" i="18"/>
  <c r="N23" i="18"/>
  <c r="Z23" i="18" s="1"/>
  <c r="AA23" i="18" s="1"/>
  <c r="Q23" i="18"/>
  <c r="O34" i="18"/>
  <c r="R34" i="18"/>
  <c r="T34" i="18" s="1"/>
  <c r="V34" i="18" s="1"/>
  <c r="AE34" i="18"/>
  <c r="AA34" i="18"/>
  <c r="AI34" i="18"/>
  <c r="U34" i="18"/>
  <c r="W34" i="18" s="1"/>
  <c r="AI35" i="18"/>
  <c r="R35" i="18"/>
  <c r="T35" i="18" s="1"/>
  <c r="V35" i="18" s="1"/>
  <c r="AE35" i="18"/>
  <c r="N35" i="18"/>
  <c r="Q35" i="18"/>
  <c r="G12" i="18"/>
  <c r="L12" i="18" s="1"/>
  <c r="M12" i="18" s="1"/>
  <c r="G9" i="18"/>
  <c r="D9" i="18"/>
  <c r="G8" i="18"/>
  <c r="D8" i="18"/>
  <c r="AY73" i="18"/>
  <c r="AQ73" i="18"/>
  <c r="AB73" i="18"/>
  <c r="AP75" i="18" s="1"/>
  <c r="S73" i="18"/>
  <c r="H73" i="18"/>
  <c r="F73" i="18"/>
  <c r="E73" i="18"/>
  <c r="C73" i="18"/>
  <c r="B73" i="18"/>
  <c r="AQ72" i="18"/>
  <c r="S72" i="18"/>
  <c r="K72" i="18"/>
  <c r="Q72" i="18" s="1"/>
  <c r="AQ71" i="18"/>
  <c r="S71" i="18"/>
  <c r="K71" i="18"/>
  <c r="AQ70" i="18"/>
  <c r="S70" i="18"/>
  <c r="K70" i="18"/>
  <c r="Q70" i="18" s="1"/>
  <c r="AQ69" i="18"/>
  <c r="S69" i="18"/>
  <c r="K69" i="18"/>
  <c r="AQ68" i="18"/>
  <c r="S68" i="18"/>
  <c r="K68" i="18"/>
  <c r="Q68" i="18" s="1"/>
  <c r="AY61" i="18"/>
  <c r="BF61" i="18" s="1"/>
  <c r="AQ61" i="18"/>
  <c r="AB61" i="18"/>
  <c r="AP63" i="18" s="1"/>
  <c r="S61" i="18"/>
  <c r="H61" i="18"/>
  <c r="F61" i="18"/>
  <c r="E61" i="18"/>
  <c r="C61" i="18"/>
  <c r="B61" i="18"/>
  <c r="AQ60" i="18"/>
  <c r="S60" i="18"/>
  <c r="K60" i="18"/>
  <c r="P60" i="18" s="1"/>
  <c r="AQ59" i="18"/>
  <c r="S59" i="18"/>
  <c r="K59" i="18"/>
  <c r="Q59" i="18" s="1"/>
  <c r="AQ58" i="18"/>
  <c r="S58" i="18"/>
  <c r="K58" i="18"/>
  <c r="Q58" i="18" s="1"/>
  <c r="AQ57" i="18"/>
  <c r="S57" i="18"/>
  <c r="K57" i="18"/>
  <c r="Q57" i="18" s="1"/>
  <c r="AQ56" i="18"/>
  <c r="S56" i="18"/>
  <c r="K56" i="18"/>
  <c r="AY49" i="18"/>
  <c r="BI49" i="18" s="1"/>
  <c r="BK49" i="18" s="1"/>
  <c r="AQ49" i="18"/>
  <c r="AB49" i="18"/>
  <c r="AP51" i="18" s="1"/>
  <c r="S49" i="18"/>
  <c r="H49" i="18"/>
  <c r="F49" i="18"/>
  <c r="E49" i="18"/>
  <c r="C49" i="18"/>
  <c r="B49" i="18"/>
  <c r="AQ48" i="18"/>
  <c r="S48" i="18"/>
  <c r="K48" i="18"/>
  <c r="Q48" i="18" s="1"/>
  <c r="AQ47" i="18"/>
  <c r="S47" i="18"/>
  <c r="K47" i="18"/>
  <c r="Q47" i="18" s="1"/>
  <c r="AQ46" i="18"/>
  <c r="S46" i="18"/>
  <c r="K46" i="18"/>
  <c r="Q46" i="18" s="1"/>
  <c r="AQ45" i="18"/>
  <c r="S45" i="18"/>
  <c r="K45" i="18"/>
  <c r="Q45" i="18" s="1"/>
  <c r="AQ44" i="18"/>
  <c r="S44" i="18"/>
  <c r="K44" i="18"/>
  <c r="P44" i="18" s="1"/>
  <c r="AY37" i="18"/>
  <c r="BI37" i="18" s="1"/>
  <c r="BK37" i="18" s="1"/>
  <c r="AQ37" i="18"/>
  <c r="AB37" i="18"/>
  <c r="AP39" i="18" s="1"/>
  <c r="S37" i="18"/>
  <c r="H37" i="18"/>
  <c r="F37" i="18"/>
  <c r="E37" i="18"/>
  <c r="C37" i="18"/>
  <c r="B37" i="18"/>
  <c r="AQ36" i="18"/>
  <c r="S36" i="18"/>
  <c r="K36" i="18"/>
  <c r="P36" i="18" s="1"/>
  <c r="AQ33" i="18"/>
  <c r="S33" i="18"/>
  <c r="K33" i="18"/>
  <c r="P33" i="18" s="1"/>
  <c r="AQ32" i="18"/>
  <c r="S32" i="18"/>
  <c r="K32" i="18"/>
  <c r="AY25" i="18"/>
  <c r="BI25" i="18" s="1"/>
  <c r="BK25" i="18" s="1"/>
  <c r="AQ25" i="18"/>
  <c r="AB25" i="18"/>
  <c r="AP27" i="18" s="1"/>
  <c r="S25" i="18"/>
  <c r="H25" i="18"/>
  <c r="F25" i="18"/>
  <c r="E25" i="18"/>
  <c r="C25" i="18"/>
  <c r="B25" i="18"/>
  <c r="AQ24" i="18"/>
  <c r="S24" i="18"/>
  <c r="K24" i="18"/>
  <c r="Q24" i="18" s="1"/>
  <c r="AQ21" i="18"/>
  <c r="S21" i="18"/>
  <c r="K21" i="18"/>
  <c r="P21" i="18" s="1"/>
  <c r="AQ20" i="18"/>
  <c r="S20" i="18"/>
  <c r="K20" i="18"/>
  <c r="Q20" i="18" s="1"/>
  <c r="AY13" i="18"/>
  <c r="BI13" i="18" s="1"/>
  <c r="BK13" i="18" s="1"/>
  <c r="AQ13" i="18"/>
  <c r="AB13" i="18"/>
  <c r="AP15" i="18" s="1"/>
  <c r="S13" i="18"/>
  <c r="H13" i="18"/>
  <c r="F13" i="18"/>
  <c r="E13" i="18"/>
  <c r="C13" i="18"/>
  <c r="B13" i="18"/>
  <c r="AQ12" i="18"/>
  <c r="S12" i="18"/>
  <c r="K12" i="18"/>
  <c r="AQ9" i="18"/>
  <c r="S9" i="18"/>
  <c r="K9" i="18"/>
  <c r="Q9" i="18" s="1"/>
  <c r="AQ8" i="18"/>
  <c r="S8" i="18"/>
  <c r="K8" i="18"/>
  <c r="Q8" i="18" s="1"/>
  <c r="O23" i="18" l="1"/>
  <c r="T10" i="18"/>
  <c r="V10" i="18" s="1"/>
  <c r="T22" i="18"/>
  <c r="V22" i="18" s="1"/>
  <c r="O10" i="18"/>
  <c r="U22" i="18"/>
  <c r="W22" i="18" s="1"/>
  <c r="U11" i="18"/>
  <c r="W11" i="18" s="1"/>
  <c r="T11" i="18"/>
  <c r="V11" i="18" s="1"/>
  <c r="U23" i="18"/>
  <c r="W23" i="18" s="1"/>
  <c r="U35" i="18"/>
  <c r="W35" i="18" s="1"/>
  <c r="O35" i="18"/>
  <c r="L8" i="18"/>
  <c r="M8" i="18" s="1"/>
  <c r="R8" i="18" s="1"/>
  <c r="L9" i="18"/>
  <c r="M9" i="18" s="1"/>
  <c r="AI9" i="18" s="1"/>
  <c r="BF13" i="18"/>
  <c r="P46" i="18"/>
  <c r="N46" i="18"/>
  <c r="N58" i="18"/>
  <c r="L71" i="18"/>
  <c r="M71" i="18" s="1"/>
  <c r="AI71" i="18" s="1"/>
  <c r="L56" i="18"/>
  <c r="M56" i="18" s="1"/>
  <c r="R56" i="18" s="1"/>
  <c r="P58" i="18"/>
  <c r="L60" i="18"/>
  <c r="M60" i="18" s="1"/>
  <c r="AI60" i="18" s="1"/>
  <c r="L57" i="18"/>
  <c r="M57" i="18" s="1"/>
  <c r="AE57" i="18" s="1"/>
  <c r="Q33" i="18"/>
  <c r="L44" i="18"/>
  <c r="M44" i="18" s="1"/>
  <c r="R44" i="18" s="1"/>
  <c r="N68" i="18"/>
  <c r="L70" i="18"/>
  <c r="M70" i="18" s="1"/>
  <c r="AI70" i="18" s="1"/>
  <c r="L72" i="18"/>
  <c r="M72" i="18" s="1"/>
  <c r="R72" i="18" s="1"/>
  <c r="BJ13" i="18"/>
  <c r="BL13" i="18" s="1"/>
  <c r="BM13" i="18" s="1"/>
  <c r="L47" i="18"/>
  <c r="M47" i="18" s="1"/>
  <c r="AI47" i="18" s="1"/>
  <c r="D73" i="18"/>
  <c r="Q21" i="18"/>
  <c r="P24" i="18"/>
  <c r="Q56" i="18"/>
  <c r="P56" i="18"/>
  <c r="P69" i="18"/>
  <c r="N69" i="18"/>
  <c r="N70" i="18"/>
  <c r="BI73" i="18"/>
  <c r="BK73" i="18" s="1"/>
  <c r="BJ73" i="18"/>
  <c r="BL73" i="18" s="1"/>
  <c r="N20" i="18"/>
  <c r="Q32" i="18"/>
  <c r="N32" i="18"/>
  <c r="L58" i="18"/>
  <c r="M58" i="18" s="1"/>
  <c r="AI58" i="18" s="1"/>
  <c r="BF73" i="18"/>
  <c r="BJ25" i="18"/>
  <c r="BL25" i="18" s="1"/>
  <c r="BM25" i="18" s="1"/>
  <c r="P32" i="18"/>
  <c r="L36" i="18"/>
  <c r="M36" i="18" s="1"/>
  <c r="AE36" i="18" s="1"/>
  <c r="Q44" i="18"/>
  <c r="N44" i="18"/>
  <c r="N48" i="18"/>
  <c r="N56" i="18"/>
  <c r="Z56" i="18" s="1"/>
  <c r="Q69" i="18"/>
  <c r="P70" i="18"/>
  <c r="L24" i="18"/>
  <c r="M24" i="18" s="1"/>
  <c r="AE24" i="18" s="1"/>
  <c r="BF25" i="18"/>
  <c r="BI61" i="18"/>
  <c r="BK61" i="18" s="1"/>
  <c r="BJ61" i="18"/>
  <c r="BL61" i="18" s="1"/>
  <c r="N9" i="18"/>
  <c r="P20" i="18"/>
  <c r="N24" i="18"/>
  <c r="Q36" i="18"/>
  <c r="N36" i="18"/>
  <c r="L48" i="18"/>
  <c r="M48" i="18" s="1"/>
  <c r="AE48" i="18" s="1"/>
  <c r="P48" i="18"/>
  <c r="L59" i="18"/>
  <c r="M59" i="18" s="1"/>
  <c r="Q60" i="18"/>
  <c r="N60" i="18"/>
  <c r="N72" i="18"/>
  <c r="L33" i="18"/>
  <c r="M33" i="18" s="1"/>
  <c r="R33" i="18" s="1"/>
  <c r="T33" i="18" s="1"/>
  <c r="V33" i="18" s="1"/>
  <c r="L45" i="18"/>
  <c r="M45" i="18" s="1"/>
  <c r="R45" i="18" s="1"/>
  <c r="L46" i="18"/>
  <c r="M46" i="18" s="1"/>
  <c r="AI46" i="18" s="1"/>
  <c r="L69" i="18"/>
  <c r="M69" i="18" s="1"/>
  <c r="AI69" i="18" s="1"/>
  <c r="P9" i="18"/>
  <c r="N12" i="18"/>
  <c r="Z12" i="18" s="1"/>
  <c r="AA12" i="18" s="1"/>
  <c r="P12" i="18"/>
  <c r="L20" i="18"/>
  <c r="M20" i="18" s="1"/>
  <c r="G25" i="18"/>
  <c r="L68" i="18"/>
  <c r="M68" i="18" s="1"/>
  <c r="G73" i="18"/>
  <c r="AE12" i="18"/>
  <c r="R12" i="18"/>
  <c r="AI12" i="18"/>
  <c r="AE58" i="18"/>
  <c r="L21" i="18"/>
  <c r="M21" i="18" s="1"/>
  <c r="D25" i="18"/>
  <c r="G13" i="18"/>
  <c r="D13" i="18"/>
  <c r="D37" i="18"/>
  <c r="AE8" i="18"/>
  <c r="N8" i="18"/>
  <c r="P8" i="18"/>
  <c r="Q12" i="18"/>
  <c r="G37" i="18"/>
  <c r="L32" i="18"/>
  <c r="M32" i="18" s="1"/>
  <c r="N21" i="18"/>
  <c r="N33" i="18"/>
  <c r="BF37" i="18"/>
  <c r="N47" i="18"/>
  <c r="P47" i="18"/>
  <c r="BF49" i="18"/>
  <c r="P59" i="18"/>
  <c r="N59" i="18"/>
  <c r="BH13" i="18"/>
  <c r="BH25" i="18"/>
  <c r="BH37" i="18"/>
  <c r="G49" i="18"/>
  <c r="BH49" i="18"/>
  <c r="G61" i="18"/>
  <c r="BJ37" i="18"/>
  <c r="BL37" i="18" s="1"/>
  <c r="BM37" i="18" s="1"/>
  <c r="P45" i="18"/>
  <c r="N45" i="18"/>
  <c r="Z45" i="18" s="1"/>
  <c r="D49" i="18"/>
  <c r="BJ49" i="18"/>
  <c r="BL49" i="18" s="1"/>
  <c r="BM49" i="18" s="1"/>
  <c r="N57" i="18"/>
  <c r="P57" i="18"/>
  <c r="D61" i="18"/>
  <c r="N71" i="18"/>
  <c r="Q71" i="18"/>
  <c r="P71" i="18"/>
  <c r="BH61" i="18"/>
  <c r="P68" i="18"/>
  <c r="P72" i="18"/>
  <c r="BH73" i="18"/>
  <c r="R39" i="17"/>
  <c r="R38" i="17"/>
  <c r="R37" i="17"/>
  <c r="R36" i="17"/>
  <c r="R35" i="17"/>
  <c r="R40" i="17" s="1"/>
  <c r="F9" i="17"/>
  <c r="F8" i="17"/>
  <c r="C8" i="17"/>
  <c r="F7" i="17"/>
  <c r="C7" i="17"/>
  <c r="F6" i="17"/>
  <c r="C6" i="17"/>
  <c r="F5" i="17"/>
  <c r="F10" i="17" s="1"/>
  <c r="C5" i="17"/>
  <c r="J39" i="17"/>
  <c r="E39" i="17"/>
  <c r="B39" i="17"/>
  <c r="J38" i="17"/>
  <c r="E38" i="17"/>
  <c r="B38" i="17"/>
  <c r="J37" i="17"/>
  <c r="E37" i="17"/>
  <c r="B37" i="17"/>
  <c r="J36" i="17"/>
  <c r="E36" i="17"/>
  <c r="B36" i="17"/>
  <c r="J35" i="17"/>
  <c r="E35" i="17"/>
  <c r="B40" i="17" s="1"/>
  <c r="B35" i="17"/>
  <c r="E23" i="17"/>
  <c r="E22" i="17"/>
  <c r="D22" i="17"/>
  <c r="D25" i="17" s="1"/>
  <c r="D29" i="17" s="1"/>
  <c r="E21" i="17"/>
  <c r="F16" i="17"/>
  <c r="E18" i="17" s="1"/>
  <c r="F19" i="17" s="1"/>
  <c r="G23" i="17" s="1"/>
  <c r="E16" i="17"/>
  <c r="F18" i="17" s="1"/>
  <c r="D16" i="17"/>
  <c r="C22" i="17" s="1"/>
  <c r="C25" i="17" s="1"/>
  <c r="C29" i="17" s="1"/>
  <c r="G10" i="17"/>
  <c r="E10" i="17"/>
  <c r="D10" i="17"/>
  <c r="P10" i="17" s="1"/>
  <c r="F40" i="17" s="1"/>
  <c r="B10" i="17"/>
  <c r="A10" i="17"/>
  <c r="Q9" i="17"/>
  <c r="H39" i="17" s="1"/>
  <c r="P9" i="17"/>
  <c r="F39" i="17" s="1"/>
  <c r="O9" i="17"/>
  <c r="J9" i="17"/>
  <c r="M9" i="17" s="1"/>
  <c r="I39" i="17" s="1"/>
  <c r="I9" i="17"/>
  <c r="L9" i="17" s="1"/>
  <c r="G39" i="17" s="1"/>
  <c r="Q8" i="17"/>
  <c r="H38" i="17" s="1"/>
  <c r="P8" i="17"/>
  <c r="F38" i="17" s="1"/>
  <c r="O8" i="17"/>
  <c r="L8" i="17"/>
  <c r="G38" i="17" s="1"/>
  <c r="J8" i="17"/>
  <c r="M8" i="17" s="1"/>
  <c r="I38" i="17" s="1"/>
  <c r="I8" i="17"/>
  <c r="K8" i="17" s="1"/>
  <c r="Q7" i="17"/>
  <c r="H37" i="17" s="1"/>
  <c r="P7" i="17"/>
  <c r="F37" i="17" s="1"/>
  <c r="O7" i="17"/>
  <c r="J7" i="17"/>
  <c r="M7" i="17" s="1"/>
  <c r="I37" i="17" s="1"/>
  <c r="I7" i="17"/>
  <c r="L7" i="17" s="1"/>
  <c r="G37" i="17" s="1"/>
  <c r="Q6" i="17"/>
  <c r="H36" i="17" s="1"/>
  <c r="P6" i="17"/>
  <c r="F36" i="17" s="1"/>
  <c r="O6" i="17"/>
  <c r="J6" i="17"/>
  <c r="M6" i="17" s="1"/>
  <c r="I36" i="17" s="1"/>
  <c r="I6" i="17"/>
  <c r="L6" i="17" s="1"/>
  <c r="G36" i="17" s="1"/>
  <c r="Q5" i="17"/>
  <c r="H35" i="17" s="1"/>
  <c r="P5" i="17"/>
  <c r="F35" i="17" s="1"/>
  <c r="O5" i="17"/>
  <c r="J5" i="17"/>
  <c r="J10" i="17" s="1"/>
  <c r="I5" i="17"/>
  <c r="L5" i="17" s="1"/>
  <c r="G35" i="17" s="1"/>
  <c r="C10" i="17"/>
  <c r="B2" i="17"/>
  <c r="B32" i="17" s="1"/>
  <c r="R39" i="16"/>
  <c r="R38" i="16"/>
  <c r="R37" i="16"/>
  <c r="R36" i="16"/>
  <c r="R35" i="16"/>
  <c r="R40" i="16" s="1"/>
  <c r="B40" i="16"/>
  <c r="J39" i="16"/>
  <c r="E39" i="16"/>
  <c r="B39" i="16"/>
  <c r="J38" i="16"/>
  <c r="E38" i="16"/>
  <c r="B38" i="16"/>
  <c r="J37" i="16"/>
  <c r="E37" i="16"/>
  <c r="B37" i="16"/>
  <c r="J36" i="16"/>
  <c r="E36" i="16"/>
  <c r="B36" i="16"/>
  <c r="J35" i="16"/>
  <c r="E35" i="16"/>
  <c r="B35" i="16"/>
  <c r="E23" i="16"/>
  <c r="E22" i="16"/>
  <c r="D22" i="16"/>
  <c r="D25" i="16" s="1"/>
  <c r="D29" i="16" s="1"/>
  <c r="E21" i="16"/>
  <c r="F16" i="16"/>
  <c r="E18" i="16" s="1"/>
  <c r="F22" i="16" s="1"/>
  <c r="E16" i="16"/>
  <c r="F18" i="16" s="1"/>
  <c r="D16" i="16"/>
  <c r="D18" i="16" s="1"/>
  <c r="G10" i="16"/>
  <c r="F10" i="16"/>
  <c r="E10" i="16"/>
  <c r="D10" i="16"/>
  <c r="C10" i="16"/>
  <c r="B10" i="16"/>
  <c r="A10" i="16"/>
  <c r="Q9" i="16"/>
  <c r="H39" i="16" s="1"/>
  <c r="P9" i="16"/>
  <c r="F39" i="16" s="1"/>
  <c r="O9" i="16"/>
  <c r="J9" i="16"/>
  <c r="M9" i="16" s="1"/>
  <c r="I39" i="16" s="1"/>
  <c r="I9" i="16"/>
  <c r="K9" i="16" s="1"/>
  <c r="Q8" i="16"/>
  <c r="H38" i="16" s="1"/>
  <c r="P8" i="16"/>
  <c r="F38" i="16" s="1"/>
  <c r="O8" i="16"/>
  <c r="M8" i="16"/>
  <c r="I38" i="16" s="1"/>
  <c r="J8" i="16"/>
  <c r="I8" i="16"/>
  <c r="Q7" i="16"/>
  <c r="H37" i="16" s="1"/>
  <c r="P7" i="16"/>
  <c r="F37" i="16" s="1"/>
  <c r="O7" i="16"/>
  <c r="L7" i="16"/>
  <c r="G37" i="16" s="1"/>
  <c r="J7" i="16"/>
  <c r="M7" i="16" s="1"/>
  <c r="I37" i="16" s="1"/>
  <c r="I7" i="16"/>
  <c r="K7" i="16" s="1"/>
  <c r="Q6" i="16"/>
  <c r="H36" i="16" s="1"/>
  <c r="P6" i="16"/>
  <c r="F36" i="16" s="1"/>
  <c r="O6" i="16"/>
  <c r="L6" i="16"/>
  <c r="G36" i="16" s="1"/>
  <c r="J6" i="16"/>
  <c r="M6" i="16" s="1"/>
  <c r="I36" i="16" s="1"/>
  <c r="I6" i="16"/>
  <c r="Q5" i="16"/>
  <c r="H35" i="16" s="1"/>
  <c r="P5" i="16"/>
  <c r="F35" i="16" s="1"/>
  <c r="O5" i="16"/>
  <c r="O10" i="16" s="1"/>
  <c r="N10" i="16" s="1"/>
  <c r="J40" i="16" s="1"/>
  <c r="H43" i="16" s="1"/>
  <c r="J5" i="16"/>
  <c r="I5" i="16"/>
  <c r="K5" i="16" s="1"/>
  <c r="B2" i="16"/>
  <c r="B32" i="16" s="1"/>
  <c r="R39" i="15"/>
  <c r="R38" i="15"/>
  <c r="R37" i="15"/>
  <c r="R36" i="15"/>
  <c r="R35" i="15"/>
  <c r="R40" i="15" s="1"/>
  <c r="J39" i="15"/>
  <c r="F39" i="15"/>
  <c r="E39" i="15"/>
  <c r="B39" i="15"/>
  <c r="J38" i="15"/>
  <c r="F38" i="15"/>
  <c r="E38" i="15"/>
  <c r="B38" i="15"/>
  <c r="J37" i="15"/>
  <c r="E37" i="15"/>
  <c r="B37" i="15"/>
  <c r="J36" i="15"/>
  <c r="E36" i="15"/>
  <c r="B36" i="15"/>
  <c r="J35" i="15"/>
  <c r="F35" i="15"/>
  <c r="E35" i="15"/>
  <c r="B40" i="15" s="1"/>
  <c r="B35" i="15"/>
  <c r="E23" i="15"/>
  <c r="E22" i="15"/>
  <c r="D22" i="15"/>
  <c r="D25" i="15" s="1"/>
  <c r="D29" i="15" s="1"/>
  <c r="E21" i="15"/>
  <c r="F16" i="15"/>
  <c r="E18" i="15" s="1"/>
  <c r="E16" i="15"/>
  <c r="F18" i="15" s="1"/>
  <c r="D16" i="15"/>
  <c r="C22" i="15" s="1"/>
  <c r="C25" i="15" s="1"/>
  <c r="C29" i="15" s="1"/>
  <c r="G10" i="15"/>
  <c r="F10" i="15"/>
  <c r="E10" i="15"/>
  <c r="Q10" i="15" s="1"/>
  <c r="H40" i="15" s="1"/>
  <c r="D10" i="15"/>
  <c r="C10" i="15"/>
  <c r="B10" i="15"/>
  <c r="A10" i="15"/>
  <c r="Q9" i="15"/>
  <c r="H39" i="15" s="1"/>
  <c r="P9" i="15"/>
  <c r="O9" i="15"/>
  <c r="J9" i="15"/>
  <c r="M9" i="15" s="1"/>
  <c r="I39" i="15" s="1"/>
  <c r="I9" i="15"/>
  <c r="L9" i="15" s="1"/>
  <c r="G39" i="15" s="1"/>
  <c r="Q8" i="15"/>
  <c r="H38" i="15" s="1"/>
  <c r="P8" i="15"/>
  <c r="O8" i="15"/>
  <c r="M8" i="15"/>
  <c r="I38" i="15" s="1"/>
  <c r="J8" i="15"/>
  <c r="I8" i="15"/>
  <c r="L8" i="15" s="1"/>
  <c r="G38" i="15" s="1"/>
  <c r="Q7" i="15"/>
  <c r="H37" i="15" s="1"/>
  <c r="P7" i="15"/>
  <c r="F37" i="15" s="1"/>
  <c r="O7" i="15"/>
  <c r="J7" i="15"/>
  <c r="M7" i="15" s="1"/>
  <c r="I37" i="15" s="1"/>
  <c r="I7" i="15"/>
  <c r="L7" i="15" s="1"/>
  <c r="G37" i="15" s="1"/>
  <c r="Q6" i="15"/>
  <c r="H36" i="15" s="1"/>
  <c r="P6" i="15"/>
  <c r="F36" i="15" s="1"/>
  <c r="O6" i="15"/>
  <c r="J6" i="15"/>
  <c r="M6" i="15" s="1"/>
  <c r="I36" i="15" s="1"/>
  <c r="I6" i="15"/>
  <c r="L6" i="15" s="1"/>
  <c r="G36" i="15" s="1"/>
  <c r="Q5" i="15"/>
  <c r="H35" i="15" s="1"/>
  <c r="P5" i="15"/>
  <c r="O5" i="15"/>
  <c r="J5" i="15"/>
  <c r="J10" i="15" s="1"/>
  <c r="I5" i="15"/>
  <c r="L5" i="15" s="1"/>
  <c r="G35" i="15" s="1"/>
  <c r="B2" i="15"/>
  <c r="B32" i="15" s="1"/>
  <c r="K47" i="14"/>
  <c r="J47" i="14"/>
  <c r="K47" i="12"/>
  <c r="J47" i="12"/>
  <c r="R39" i="14"/>
  <c r="R38" i="14"/>
  <c r="R37" i="14"/>
  <c r="R36" i="14"/>
  <c r="R40" i="14" s="1"/>
  <c r="R35" i="14"/>
  <c r="F9" i="14"/>
  <c r="F8" i="14"/>
  <c r="C8" i="14"/>
  <c r="F7" i="14"/>
  <c r="C7" i="14"/>
  <c r="F6" i="14"/>
  <c r="C6" i="14"/>
  <c r="F5" i="14"/>
  <c r="F10" i="14" s="1"/>
  <c r="C5" i="14"/>
  <c r="J39" i="14"/>
  <c r="E39" i="14"/>
  <c r="B39" i="14"/>
  <c r="J38" i="14"/>
  <c r="E38" i="14"/>
  <c r="B38" i="14"/>
  <c r="J37" i="14"/>
  <c r="E37" i="14"/>
  <c r="B37" i="14"/>
  <c r="J36" i="14"/>
  <c r="E36" i="14"/>
  <c r="B36" i="14"/>
  <c r="J35" i="14"/>
  <c r="E35" i="14"/>
  <c r="B40" i="14" s="1"/>
  <c r="B35" i="14"/>
  <c r="E23" i="14"/>
  <c r="E22" i="14"/>
  <c r="D22" i="14"/>
  <c r="D25" i="14" s="1"/>
  <c r="D29" i="14" s="1"/>
  <c r="E21" i="14"/>
  <c r="F16" i="14"/>
  <c r="E18" i="14" s="1"/>
  <c r="F19" i="14" s="1"/>
  <c r="G23" i="14" s="1"/>
  <c r="E16" i="14"/>
  <c r="F18" i="14" s="1"/>
  <c r="D16" i="14"/>
  <c r="C22" i="14" s="1"/>
  <c r="C25" i="14" s="1"/>
  <c r="C29" i="14" s="1"/>
  <c r="G10" i="14"/>
  <c r="E10" i="14"/>
  <c r="Q10" i="14" s="1"/>
  <c r="H40" i="14" s="1"/>
  <c r="D10" i="14"/>
  <c r="C10" i="14"/>
  <c r="B10" i="14"/>
  <c r="A10" i="14"/>
  <c r="Q9" i="14"/>
  <c r="H39" i="14" s="1"/>
  <c r="P9" i="14"/>
  <c r="F39" i="14" s="1"/>
  <c r="O9" i="14"/>
  <c r="M9" i="14"/>
  <c r="I39" i="14" s="1"/>
  <c r="J9" i="14"/>
  <c r="I9" i="14"/>
  <c r="L9" i="14" s="1"/>
  <c r="G39" i="14" s="1"/>
  <c r="Q8" i="14"/>
  <c r="H38" i="14" s="1"/>
  <c r="P8" i="14"/>
  <c r="F38" i="14" s="1"/>
  <c r="O8" i="14"/>
  <c r="M8" i="14"/>
  <c r="I38" i="14" s="1"/>
  <c r="J8" i="14"/>
  <c r="I8" i="14"/>
  <c r="L8" i="14" s="1"/>
  <c r="G38" i="14" s="1"/>
  <c r="Q7" i="14"/>
  <c r="H37" i="14" s="1"/>
  <c r="P7" i="14"/>
  <c r="F37" i="14" s="1"/>
  <c r="O7" i="14"/>
  <c r="M7" i="14"/>
  <c r="I37" i="14" s="1"/>
  <c r="J7" i="14"/>
  <c r="I7" i="14"/>
  <c r="L7" i="14" s="1"/>
  <c r="G37" i="14" s="1"/>
  <c r="Q6" i="14"/>
  <c r="H36" i="14" s="1"/>
  <c r="P6" i="14"/>
  <c r="F36" i="14" s="1"/>
  <c r="O6" i="14"/>
  <c r="M6" i="14"/>
  <c r="I36" i="14" s="1"/>
  <c r="J6" i="14"/>
  <c r="I6" i="14"/>
  <c r="L6" i="14" s="1"/>
  <c r="G36" i="14" s="1"/>
  <c r="Q5" i="14"/>
  <c r="H35" i="14" s="1"/>
  <c r="P5" i="14"/>
  <c r="F35" i="14" s="1"/>
  <c r="O5" i="14"/>
  <c r="O10" i="14" s="1"/>
  <c r="N10" i="14" s="1"/>
  <c r="J40" i="14" s="1"/>
  <c r="H43" i="14" s="1"/>
  <c r="M5" i="14"/>
  <c r="I35" i="14" s="1"/>
  <c r="J5" i="14"/>
  <c r="J10" i="14" s="1"/>
  <c r="I5" i="14"/>
  <c r="L5" i="14" s="1"/>
  <c r="G35" i="14" s="1"/>
  <c r="B2" i="14"/>
  <c r="B32" i="14" s="1"/>
  <c r="E16" i="13"/>
  <c r="F18" i="13" s="1"/>
  <c r="R39" i="13"/>
  <c r="R38" i="13"/>
  <c r="R37" i="13"/>
  <c r="R36" i="13"/>
  <c r="R35" i="13"/>
  <c r="R40" i="13" s="1"/>
  <c r="G10" i="13"/>
  <c r="E10" i="13"/>
  <c r="D10" i="13"/>
  <c r="P10" i="13" s="1"/>
  <c r="F40" i="13" s="1"/>
  <c r="B10" i="13"/>
  <c r="A10" i="13"/>
  <c r="F9" i="13"/>
  <c r="F8" i="13"/>
  <c r="C8" i="13"/>
  <c r="F7" i="13"/>
  <c r="C7" i="13"/>
  <c r="F6" i="13"/>
  <c r="C6" i="13"/>
  <c r="F5" i="13"/>
  <c r="F10" i="13" s="1"/>
  <c r="C5" i="13"/>
  <c r="C10" i="13" s="1"/>
  <c r="J39" i="13"/>
  <c r="E39" i="13"/>
  <c r="B39" i="13"/>
  <c r="J38" i="13"/>
  <c r="F38" i="13"/>
  <c r="E38" i="13"/>
  <c r="B38" i="13"/>
  <c r="J37" i="13"/>
  <c r="E37" i="13"/>
  <c r="B37" i="13"/>
  <c r="J36" i="13"/>
  <c r="E36" i="13"/>
  <c r="B36" i="13"/>
  <c r="J35" i="13"/>
  <c r="E35" i="13"/>
  <c r="B40" i="13" s="1"/>
  <c r="B35" i="13"/>
  <c r="E23" i="13"/>
  <c r="E22" i="13"/>
  <c r="E21" i="13"/>
  <c r="F16" i="13"/>
  <c r="E18" i="13" s="1"/>
  <c r="Q9" i="13"/>
  <c r="H39" i="13" s="1"/>
  <c r="P9" i="13"/>
  <c r="F39" i="13" s="1"/>
  <c r="O9" i="13"/>
  <c r="J9" i="13"/>
  <c r="M9" i="13" s="1"/>
  <c r="I39" i="13" s="1"/>
  <c r="I9" i="13"/>
  <c r="L9" i="13" s="1"/>
  <c r="G39" i="13" s="1"/>
  <c r="Q8" i="13"/>
  <c r="H38" i="13" s="1"/>
  <c r="P8" i="13"/>
  <c r="O8" i="13"/>
  <c r="J8" i="13"/>
  <c r="M8" i="13" s="1"/>
  <c r="I38" i="13" s="1"/>
  <c r="I8" i="13"/>
  <c r="L8" i="13" s="1"/>
  <c r="G38" i="13" s="1"/>
  <c r="Q7" i="13"/>
  <c r="H37" i="13" s="1"/>
  <c r="P7" i="13"/>
  <c r="F37" i="13" s="1"/>
  <c r="O7" i="13"/>
  <c r="J7" i="13"/>
  <c r="M7" i="13" s="1"/>
  <c r="I37" i="13" s="1"/>
  <c r="I7" i="13"/>
  <c r="L7" i="13" s="1"/>
  <c r="G37" i="13" s="1"/>
  <c r="Q6" i="13"/>
  <c r="H36" i="13" s="1"/>
  <c r="P6" i="13"/>
  <c r="F36" i="13" s="1"/>
  <c r="O6" i="13"/>
  <c r="J6" i="13"/>
  <c r="M6" i="13" s="1"/>
  <c r="I36" i="13" s="1"/>
  <c r="I6" i="13"/>
  <c r="L6" i="13" s="1"/>
  <c r="G36" i="13" s="1"/>
  <c r="Q5" i="13"/>
  <c r="H35" i="13" s="1"/>
  <c r="P5" i="13"/>
  <c r="F35" i="13" s="1"/>
  <c r="O5" i="13"/>
  <c r="O10" i="13" s="1"/>
  <c r="N10" i="13" s="1"/>
  <c r="J40" i="13" s="1"/>
  <c r="H43" i="13" s="1"/>
  <c r="J5" i="13"/>
  <c r="I5" i="13"/>
  <c r="L5" i="13" s="1"/>
  <c r="G35" i="13" s="1"/>
  <c r="B2" i="13"/>
  <c r="B32" i="13" s="1"/>
  <c r="R39" i="12"/>
  <c r="R38" i="12"/>
  <c r="R37" i="12"/>
  <c r="R36" i="12"/>
  <c r="R35" i="12"/>
  <c r="R40" i="12" s="1"/>
  <c r="K49" i="12"/>
  <c r="J49" i="12"/>
  <c r="G10" i="12"/>
  <c r="Q10" i="12" s="1"/>
  <c r="H40" i="12" s="1"/>
  <c r="E10" i="12"/>
  <c r="D10" i="12"/>
  <c r="B10" i="12"/>
  <c r="P10" i="12" s="1"/>
  <c r="F40" i="12" s="1"/>
  <c r="A10" i="12"/>
  <c r="C10" i="12"/>
  <c r="J39" i="12"/>
  <c r="E39" i="12"/>
  <c r="B39" i="12"/>
  <c r="J38" i="12"/>
  <c r="E38" i="12"/>
  <c r="B38" i="12"/>
  <c r="J37" i="12"/>
  <c r="E37" i="12"/>
  <c r="B37" i="12"/>
  <c r="J36" i="12"/>
  <c r="E36" i="12"/>
  <c r="B36" i="12"/>
  <c r="J35" i="12"/>
  <c r="E35" i="12"/>
  <c r="B40" i="12" s="1"/>
  <c r="B35" i="12"/>
  <c r="E23" i="12"/>
  <c r="E22" i="12"/>
  <c r="D22" i="12"/>
  <c r="D25" i="12" s="1"/>
  <c r="D29" i="12" s="1"/>
  <c r="E21" i="12"/>
  <c r="F16" i="12"/>
  <c r="E18" i="12" s="1"/>
  <c r="E16" i="12"/>
  <c r="F18" i="12" s="1"/>
  <c r="D16" i="12"/>
  <c r="C22" i="12" s="1"/>
  <c r="C25" i="12" s="1"/>
  <c r="C29" i="12" s="1"/>
  <c r="Q9" i="12"/>
  <c r="H39" i="12" s="1"/>
  <c r="P9" i="12"/>
  <c r="F39" i="12" s="1"/>
  <c r="O9" i="12"/>
  <c r="J9" i="12"/>
  <c r="M9" i="12" s="1"/>
  <c r="I39" i="12" s="1"/>
  <c r="I9" i="12"/>
  <c r="K9" i="12" s="1"/>
  <c r="Q8" i="12"/>
  <c r="H38" i="12" s="1"/>
  <c r="P8" i="12"/>
  <c r="F38" i="12" s="1"/>
  <c r="O8" i="12"/>
  <c r="J8" i="12"/>
  <c r="M8" i="12" s="1"/>
  <c r="I38" i="12" s="1"/>
  <c r="I8" i="12"/>
  <c r="L8" i="12" s="1"/>
  <c r="G38" i="12" s="1"/>
  <c r="Q7" i="12"/>
  <c r="H37" i="12" s="1"/>
  <c r="P7" i="12"/>
  <c r="F37" i="12" s="1"/>
  <c r="O7" i="12"/>
  <c r="J7" i="12"/>
  <c r="M7" i="12" s="1"/>
  <c r="I37" i="12" s="1"/>
  <c r="I7" i="12"/>
  <c r="L7" i="12" s="1"/>
  <c r="G37" i="12" s="1"/>
  <c r="Q6" i="12"/>
  <c r="H36" i="12" s="1"/>
  <c r="P6" i="12"/>
  <c r="F36" i="12" s="1"/>
  <c r="O6" i="12"/>
  <c r="J6" i="12"/>
  <c r="M6" i="12" s="1"/>
  <c r="I36" i="12" s="1"/>
  <c r="I6" i="12"/>
  <c r="L6" i="12" s="1"/>
  <c r="G36" i="12" s="1"/>
  <c r="Q5" i="12"/>
  <c r="H35" i="12" s="1"/>
  <c r="P5" i="12"/>
  <c r="F35" i="12" s="1"/>
  <c r="O5" i="12"/>
  <c r="J5" i="12"/>
  <c r="M5" i="12" s="1"/>
  <c r="I35" i="12" s="1"/>
  <c r="I5" i="12"/>
  <c r="L5" i="12" s="1"/>
  <c r="G35" i="12" s="1"/>
  <c r="B2" i="12"/>
  <c r="B32" i="12" s="1"/>
  <c r="AI8" i="18" l="1"/>
  <c r="AI45" i="18"/>
  <c r="R9" i="18"/>
  <c r="U9" i="18" s="1"/>
  <c r="W9" i="18" s="1"/>
  <c r="AE60" i="18"/>
  <c r="R47" i="18"/>
  <c r="T47" i="18" s="1"/>
  <c r="V47" i="18" s="1"/>
  <c r="AE9" i="18"/>
  <c r="AE47" i="18"/>
  <c r="M13" i="18"/>
  <c r="AD13" i="18" s="1"/>
  <c r="O9" i="18"/>
  <c r="O47" i="18"/>
  <c r="O46" i="18"/>
  <c r="R58" i="18"/>
  <c r="T58" i="18" s="1"/>
  <c r="V58" i="18" s="1"/>
  <c r="AI56" i="18"/>
  <c r="R46" i="18"/>
  <c r="U46" i="18" s="1"/>
  <c r="W46" i="18" s="1"/>
  <c r="O60" i="18"/>
  <c r="AE45" i="18"/>
  <c r="O59" i="18"/>
  <c r="R24" i="18"/>
  <c r="U24" i="18" s="1"/>
  <c r="W24" i="18" s="1"/>
  <c r="AE56" i="18"/>
  <c r="O58" i="18"/>
  <c r="AA56" i="18"/>
  <c r="AI59" i="18"/>
  <c r="R70" i="18"/>
  <c r="U70" i="18" s="1"/>
  <c r="W70" i="18" s="1"/>
  <c r="AI72" i="18"/>
  <c r="R71" i="18"/>
  <c r="U71" i="18" s="1"/>
  <c r="W71" i="18" s="1"/>
  <c r="R59" i="18"/>
  <c r="T59" i="18" s="1"/>
  <c r="V59" i="18" s="1"/>
  <c r="AI44" i="18"/>
  <c r="O69" i="18"/>
  <c r="AE59" i="18"/>
  <c r="U56" i="18"/>
  <c r="W56" i="18" s="1"/>
  <c r="AI57" i="18"/>
  <c r="T56" i="18"/>
  <c r="V56" i="18" s="1"/>
  <c r="R60" i="18"/>
  <c r="AE33" i="18"/>
  <c r="BM73" i="18"/>
  <c r="AE46" i="18"/>
  <c r="AA45" i="18"/>
  <c r="T44" i="18"/>
  <c r="V44" i="18" s="1"/>
  <c r="U44" i="18"/>
  <c r="W44" i="18" s="1"/>
  <c r="AE71" i="18"/>
  <c r="R57" i="18"/>
  <c r="U57" i="18" s="1"/>
  <c r="W57" i="18" s="1"/>
  <c r="O72" i="18"/>
  <c r="BM61" i="18"/>
  <c r="O71" i="18"/>
  <c r="R69" i="18"/>
  <c r="U69" i="18" s="1"/>
  <c r="W69" i="18" s="1"/>
  <c r="O57" i="18"/>
  <c r="AE72" i="18"/>
  <c r="O12" i="18"/>
  <c r="AE44" i="18"/>
  <c r="AI33" i="18"/>
  <c r="AE69" i="18"/>
  <c r="O44" i="18"/>
  <c r="R36" i="18"/>
  <c r="U36" i="18" s="1"/>
  <c r="W36" i="18" s="1"/>
  <c r="U33" i="18"/>
  <c r="W33" i="18" s="1"/>
  <c r="AE70" i="18"/>
  <c r="O36" i="18"/>
  <c r="O70" i="18"/>
  <c r="O56" i="18"/>
  <c r="AI36" i="18"/>
  <c r="AI48" i="18"/>
  <c r="M49" i="18"/>
  <c r="R49" i="18" s="1"/>
  <c r="O24" i="18"/>
  <c r="AI24" i="18"/>
  <c r="M61" i="18"/>
  <c r="AD61" i="18" s="1"/>
  <c r="R48" i="18"/>
  <c r="O48" i="18"/>
  <c r="U47" i="18"/>
  <c r="W47" i="18" s="1"/>
  <c r="M37" i="18"/>
  <c r="AI32" i="18"/>
  <c r="O32" i="18"/>
  <c r="R32" i="18"/>
  <c r="AE32" i="18"/>
  <c r="M73" i="18"/>
  <c r="AI68" i="18"/>
  <c r="O68" i="18"/>
  <c r="R68" i="18"/>
  <c r="U68" i="18" s="1"/>
  <c r="W68" i="18" s="1"/>
  <c r="AE68" i="18"/>
  <c r="O45" i="18"/>
  <c r="T12" i="18"/>
  <c r="V12" i="18" s="1"/>
  <c r="U12" i="18"/>
  <c r="W12" i="18" s="1"/>
  <c r="U72" i="18"/>
  <c r="W72" i="18" s="1"/>
  <c r="T72" i="18"/>
  <c r="V72" i="18" s="1"/>
  <c r="O8" i="18"/>
  <c r="T8" i="18"/>
  <c r="V8" i="18" s="1"/>
  <c r="U8" i="18"/>
  <c r="W8" i="18" s="1"/>
  <c r="M25" i="18"/>
  <c r="AI20" i="18"/>
  <c r="O20" i="18"/>
  <c r="AE20" i="18"/>
  <c r="R20" i="18"/>
  <c r="T45" i="18"/>
  <c r="V45" i="18" s="1"/>
  <c r="U45" i="18"/>
  <c r="W45" i="18" s="1"/>
  <c r="O21" i="18"/>
  <c r="AE21" i="18"/>
  <c r="R21" i="18"/>
  <c r="AI21" i="18"/>
  <c r="O33" i="18"/>
  <c r="E25" i="17"/>
  <c r="E29" i="17" s="1"/>
  <c r="K5" i="17"/>
  <c r="K7" i="17"/>
  <c r="O10" i="17"/>
  <c r="N10" i="17" s="1"/>
  <c r="J40" i="17" s="1"/>
  <c r="H43" i="17" s="1"/>
  <c r="E19" i="17"/>
  <c r="G22" i="17" s="1"/>
  <c r="F23" i="17"/>
  <c r="M10" i="17"/>
  <c r="I40" i="17" s="1"/>
  <c r="I10" i="17"/>
  <c r="L10" i="17" s="1"/>
  <c r="G40" i="17" s="1"/>
  <c r="Q10" i="17"/>
  <c r="H40" i="17" s="1"/>
  <c r="M5" i="17"/>
  <c r="I35" i="17" s="1"/>
  <c r="K6" i="17"/>
  <c r="K9" i="17"/>
  <c r="D18" i="17"/>
  <c r="F22" i="17"/>
  <c r="E25" i="16"/>
  <c r="E29" i="16" s="1"/>
  <c r="J10" i="16"/>
  <c r="K8" i="16"/>
  <c r="L5" i="16"/>
  <c r="G35" i="16" s="1"/>
  <c r="L9" i="16"/>
  <c r="G39" i="16" s="1"/>
  <c r="P10" i="16"/>
  <c r="F40" i="16" s="1"/>
  <c r="M5" i="16"/>
  <c r="I35" i="16" s="1"/>
  <c r="K6" i="16"/>
  <c r="K10" i="16" s="1"/>
  <c r="H10" i="16" s="1"/>
  <c r="E40" i="16" s="1"/>
  <c r="L8" i="16"/>
  <c r="G38" i="16" s="1"/>
  <c r="E19" i="16"/>
  <c r="G22" i="16" s="1"/>
  <c r="F23" i="16"/>
  <c r="M10" i="16"/>
  <c r="I40" i="16" s="1"/>
  <c r="F21" i="16"/>
  <c r="D19" i="16"/>
  <c r="G21" i="16" s="1"/>
  <c r="F19" i="16"/>
  <c r="G23" i="16" s="1"/>
  <c r="I10" i="16"/>
  <c r="L10" i="16" s="1"/>
  <c r="G40" i="16" s="1"/>
  <c r="Q10" i="16"/>
  <c r="H40" i="16" s="1"/>
  <c r="C22" i="16"/>
  <c r="C25" i="16" s="1"/>
  <c r="C29" i="16" s="1"/>
  <c r="E25" i="15"/>
  <c r="E29" i="15" s="1"/>
  <c r="O10" i="15"/>
  <c r="N10" i="15" s="1"/>
  <c r="J40" i="15" s="1"/>
  <c r="H43" i="15" s="1"/>
  <c r="P10" i="15"/>
  <c r="F40" i="15" s="1"/>
  <c r="M5" i="15"/>
  <c r="I35" i="15" s="1"/>
  <c r="F23" i="15"/>
  <c r="E19" i="15"/>
  <c r="G22" i="15" s="1"/>
  <c r="F19" i="15"/>
  <c r="G23" i="15" s="1"/>
  <c r="F22" i="15"/>
  <c r="M10" i="15"/>
  <c r="I40" i="15" s="1"/>
  <c r="K5" i="15"/>
  <c r="K6" i="15"/>
  <c r="K7" i="15"/>
  <c r="K8" i="15"/>
  <c r="K9" i="15"/>
  <c r="D18" i="15"/>
  <c r="I10" i="15"/>
  <c r="L10" i="15"/>
  <c r="G40" i="15" s="1"/>
  <c r="L49" i="12"/>
  <c r="E25" i="14"/>
  <c r="E29" i="14" s="1"/>
  <c r="P10" i="14"/>
  <c r="F40" i="14" s="1"/>
  <c r="E19" i="14"/>
  <c r="G22" i="14" s="1"/>
  <c r="F23" i="14"/>
  <c r="M10" i="14"/>
  <c r="I40" i="14" s="1"/>
  <c r="K5" i="14"/>
  <c r="K6" i="14"/>
  <c r="K7" i="14"/>
  <c r="K8" i="14"/>
  <c r="K9" i="14"/>
  <c r="D18" i="14"/>
  <c r="F22" i="14"/>
  <c r="I10" i="14"/>
  <c r="L10" i="14"/>
  <c r="G40" i="14" s="1"/>
  <c r="D16" i="13"/>
  <c r="C22" i="13" s="1"/>
  <c r="C25" i="13" s="1"/>
  <c r="C29" i="13" s="1"/>
  <c r="D22" i="13"/>
  <c r="D25" i="13" s="1"/>
  <c r="D29" i="13" s="1"/>
  <c r="E25" i="13"/>
  <c r="E29" i="13" s="1"/>
  <c r="J10" i="13"/>
  <c r="M5" i="13"/>
  <c r="I35" i="13" s="1"/>
  <c r="M10" i="13"/>
  <c r="I40" i="13" s="1"/>
  <c r="F23" i="13"/>
  <c r="E19" i="13"/>
  <c r="G22" i="13" s="1"/>
  <c r="F19" i="13"/>
  <c r="G23" i="13" s="1"/>
  <c r="F22" i="13"/>
  <c r="I10" i="13"/>
  <c r="Q10" i="13"/>
  <c r="H40" i="13" s="1"/>
  <c r="K5" i="13"/>
  <c r="K6" i="13"/>
  <c r="K7" i="13"/>
  <c r="K8" i="13"/>
  <c r="K9" i="13"/>
  <c r="D18" i="13"/>
  <c r="L10" i="13"/>
  <c r="G40" i="13" s="1"/>
  <c r="E25" i="12"/>
  <c r="E29" i="12" s="1"/>
  <c r="F10" i="12"/>
  <c r="L9" i="12"/>
  <c r="G39" i="12" s="1"/>
  <c r="K8" i="12"/>
  <c r="K5" i="12"/>
  <c r="O10" i="12"/>
  <c r="N10" i="12" s="1"/>
  <c r="J40" i="12" s="1"/>
  <c r="H43" i="12" s="1"/>
  <c r="K7" i="12"/>
  <c r="I10" i="12"/>
  <c r="L10" i="12" s="1"/>
  <c r="G40" i="12" s="1"/>
  <c r="K6" i="12"/>
  <c r="J10" i="12"/>
  <c r="M10" i="12" s="1"/>
  <c r="I40" i="12" s="1"/>
  <c r="F23" i="12"/>
  <c r="E19" i="12"/>
  <c r="G22" i="12" s="1"/>
  <c r="F19" i="12"/>
  <c r="G23" i="12" s="1"/>
  <c r="F22" i="12"/>
  <c r="D18" i="12"/>
  <c r="T9" i="18" l="1"/>
  <c r="V9" i="18" s="1"/>
  <c r="T24" i="18"/>
  <c r="V24" i="18" s="1"/>
  <c r="R13" i="18"/>
  <c r="U58" i="18"/>
  <c r="W58" i="18" s="1"/>
  <c r="T70" i="18"/>
  <c r="V70" i="18" s="1"/>
  <c r="AE13" i="18"/>
  <c r="AF13" i="18" s="1"/>
  <c r="T57" i="18"/>
  <c r="V57" i="18" s="1"/>
  <c r="T46" i="18"/>
  <c r="V46" i="18" s="1"/>
  <c r="AE37" i="18"/>
  <c r="T71" i="18"/>
  <c r="V71" i="18" s="1"/>
  <c r="R61" i="18"/>
  <c r="AE61" i="18"/>
  <c r="AF61" i="18" s="1"/>
  <c r="T68" i="18"/>
  <c r="V68" i="18" s="1"/>
  <c r="O49" i="18"/>
  <c r="P49" i="18" s="1"/>
  <c r="Z47" i="18" s="1"/>
  <c r="AA47" i="18" s="1"/>
  <c r="U59" i="18"/>
  <c r="W59" i="18" s="1"/>
  <c r="T36" i="18"/>
  <c r="V36" i="18" s="1"/>
  <c r="T60" i="18"/>
  <c r="V60" i="18" s="1"/>
  <c r="U60" i="18"/>
  <c r="W60" i="18" s="1"/>
  <c r="AE49" i="18"/>
  <c r="AD49" i="18"/>
  <c r="AE73" i="18"/>
  <c r="T69" i="18"/>
  <c r="V69" i="18" s="1"/>
  <c r="O73" i="18"/>
  <c r="P73" i="18" s="1"/>
  <c r="O61" i="18"/>
  <c r="P61" i="18" s="1"/>
  <c r="Z59" i="18" s="1"/>
  <c r="AA59" i="18" s="1"/>
  <c r="T48" i="18"/>
  <c r="V48" i="18" s="1"/>
  <c r="U48" i="18"/>
  <c r="W48" i="18" s="1"/>
  <c r="U20" i="18"/>
  <c r="W20" i="18" s="1"/>
  <c r="T20" i="18"/>
  <c r="V20" i="18" s="1"/>
  <c r="O13" i="18"/>
  <c r="P13" i="18" s="1"/>
  <c r="R73" i="18"/>
  <c r="AD73" i="18"/>
  <c r="U32" i="18"/>
  <c r="W32" i="18" s="1"/>
  <c r="T32" i="18"/>
  <c r="V32" i="18" s="1"/>
  <c r="R37" i="18"/>
  <c r="AD37" i="18"/>
  <c r="AE25" i="18"/>
  <c r="R25" i="18"/>
  <c r="AD25" i="18"/>
  <c r="O37" i="18"/>
  <c r="P37" i="18" s="1"/>
  <c r="Z35" i="18" s="1"/>
  <c r="AA35" i="18" s="1"/>
  <c r="T21" i="18"/>
  <c r="V21" i="18" s="1"/>
  <c r="U21" i="18"/>
  <c r="W21" i="18" s="1"/>
  <c r="O25" i="18"/>
  <c r="P25" i="18" s="1"/>
  <c r="Z22" i="18" s="1"/>
  <c r="AA22" i="18" s="1"/>
  <c r="K10" i="17"/>
  <c r="H10" i="17" s="1"/>
  <c r="E40" i="17" s="1"/>
  <c r="J47" i="17" s="1"/>
  <c r="J49" i="17" s="1"/>
  <c r="G44" i="17"/>
  <c r="A14" i="17"/>
  <c r="K47" i="17"/>
  <c r="K49" i="17" s="1"/>
  <c r="C43" i="17"/>
  <c r="C44" i="17"/>
  <c r="A13" i="17"/>
  <c r="A27" i="17" s="1"/>
  <c r="F21" i="17"/>
  <c r="F25" i="17" s="1"/>
  <c r="F29" i="17" s="1"/>
  <c r="D19" i="17"/>
  <c r="G21" i="17" s="1"/>
  <c r="G25" i="17" s="1"/>
  <c r="G29" i="17" s="1"/>
  <c r="F25" i="16"/>
  <c r="F29" i="16" s="1"/>
  <c r="G25" i="16"/>
  <c r="G29" i="16" s="1"/>
  <c r="K47" i="16"/>
  <c r="K49" i="16" s="1"/>
  <c r="A14" i="16"/>
  <c r="G44" i="16"/>
  <c r="J47" i="16"/>
  <c r="J49" i="16" s="1"/>
  <c r="C43" i="16"/>
  <c r="C44" i="16"/>
  <c r="A13" i="16"/>
  <c r="A27" i="16" s="1"/>
  <c r="C43" i="15"/>
  <c r="A13" i="15"/>
  <c r="F21" i="15"/>
  <c r="F25" i="15" s="1"/>
  <c r="F29" i="15" s="1"/>
  <c r="D19" i="15"/>
  <c r="G21" i="15" s="1"/>
  <c r="G25" i="15" s="1"/>
  <c r="G29" i="15" s="1"/>
  <c r="K10" i="15"/>
  <c r="H10" i="15" s="1"/>
  <c r="E40" i="15" s="1"/>
  <c r="K10" i="14"/>
  <c r="H10" i="14" s="1"/>
  <c r="E40" i="14" s="1"/>
  <c r="C44" i="14" s="1"/>
  <c r="C43" i="14"/>
  <c r="A13" i="14"/>
  <c r="F21" i="14"/>
  <c r="F25" i="14" s="1"/>
  <c r="F29" i="14" s="1"/>
  <c r="D19" i="14"/>
  <c r="G21" i="14" s="1"/>
  <c r="G25" i="14" s="1"/>
  <c r="G29" i="14" s="1"/>
  <c r="K10" i="13"/>
  <c r="H10" i="13" s="1"/>
  <c r="E40" i="13" s="1"/>
  <c r="F21" i="13"/>
  <c r="F25" i="13" s="1"/>
  <c r="F29" i="13" s="1"/>
  <c r="D19" i="13"/>
  <c r="G21" i="13" s="1"/>
  <c r="G25" i="13" s="1"/>
  <c r="G29" i="13" s="1"/>
  <c r="C43" i="13"/>
  <c r="C44" i="13"/>
  <c r="A13" i="13"/>
  <c r="K10" i="12"/>
  <c r="H10" i="12" s="1"/>
  <c r="E40" i="12" s="1"/>
  <c r="G44" i="12" s="1"/>
  <c r="C44" i="12"/>
  <c r="C43" i="12"/>
  <c r="A13" i="12"/>
  <c r="F21" i="12"/>
  <c r="F25" i="12" s="1"/>
  <c r="F29" i="12" s="1"/>
  <c r="D19" i="12"/>
  <c r="G21" i="12" s="1"/>
  <c r="G25" i="12" s="1"/>
  <c r="G29" i="12" s="1"/>
  <c r="Z11" i="18" l="1"/>
  <c r="AA11" i="18" s="1"/>
  <c r="Z10" i="18"/>
  <c r="AA10" i="18" s="1"/>
  <c r="Z46" i="18"/>
  <c r="AA46" i="18" s="1"/>
  <c r="AF37" i="18"/>
  <c r="Q49" i="18"/>
  <c r="U49" i="18"/>
  <c r="W49" i="18" s="1"/>
  <c r="T73" i="18"/>
  <c r="V73" i="18" s="1"/>
  <c r="Z72" i="18"/>
  <c r="AA72" i="18" s="1"/>
  <c r="AF73" i="18"/>
  <c r="Z70" i="18"/>
  <c r="AA70" i="18" s="1"/>
  <c r="U61" i="18"/>
  <c r="W61" i="18" s="1"/>
  <c r="Z71" i="18"/>
  <c r="AA71" i="18" s="1"/>
  <c r="Z68" i="18"/>
  <c r="AA68" i="18" s="1"/>
  <c r="Z44" i="18"/>
  <c r="AA44" i="18" s="1"/>
  <c r="T49" i="18"/>
  <c r="V49" i="18" s="1"/>
  <c r="Z69" i="18"/>
  <c r="AA69" i="18" s="1"/>
  <c r="Q73" i="18"/>
  <c r="Z48" i="18"/>
  <c r="AA48" i="18" s="1"/>
  <c r="U73" i="18"/>
  <c r="W73" i="18" s="1"/>
  <c r="AF49" i="18"/>
  <c r="Z60" i="18"/>
  <c r="AA60" i="18" s="1"/>
  <c r="Z58" i="18"/>
  <c r="AA58" i="18" s="1"/>
  <c r="T61" i="18"/>
  <c r="V61" i="18" s="1"/>
  <c r="Z57" i="18"/>
  <c r="AA57" i="18" s="1"/>
  <c r="Q61" i="18"/>
  <c r="U25" i="18"/>
  <c r="W25" i="18" s="1"/>
  <c r="Q25" i="18"/>
  <c r="T25" i="18"/>
  <c r="V25" i="18" s="1"/>
  <c r="Z20" i="18"/>
  <c r="AA20" i="18" s="1"/>
  <c r="Z24" i="18"/>
  <c r="AA24" i="18" s="1"/>
  <c r="Z21" i="18"/>
  <c r="AA21" i="18" s="1"/>
  <c r="T13" i="18"/>
  <c r="V13" i="18" s="1"/>
  <c r="Q13" i="18"/>
  <c r="U13" i="18"/>
  <c r="W13" i="18" s="1"/>
  <c r="Z9" i="18"/>
  <c r="AA9" i="18" s="1"/>
  <c r="Z8" i="18"/>
  <c r="AA8" i="18" s="1"/>
  <c r="T37" i="18"/>
  <c r="V37" i="18" s="1"/>
  <c r="U37" i="18"/>
  <c r="W37" i="18" s="1"/>
  <c r="Q37" i="18"/>
  <c r="Z32" i="18"/>
  <c r="AA32" i="18" s="1"/>
  <c r="Z36" i="18"/>
  <c r="AA36" i="18" s="1"/>
  <c r="Z33" i="18"/>
  <c r="AA33" i="18" s="1"/>
  <c r="AF25" i="18"/>
  <c r="L49" i="17"/>
  <c r="L49" i="16"/>
  <c r="J47" i="15"/>
  <c r="J49" i="15" s="1"/>
  <c r="K47" i="15"/>
  <c r="K49" i="15" s="1"/>
  <c r="G44" i="15"/>
  <c r="A14" i="15"/>
  <c r="A27" i="15" s="1"/>
  <c r="C44" i="15"/>
  <c r="J49" i="14"/>
  <c r="G44" i="14"/>
  <c r="A14" i="14"/>
  <c r="A27" i="14" s="1"/>
  <c r="K49" i="14"/>
  <c r="J47" i="13"/>
  <c r="J49" i="13" s="1"/>
  <c r="G44" i="13"/>
  <c r="A14" i="13"/>
  <c r="A27" i="13" s="1"/>
  <c r="K47" i="13"/>
  <c r="K49" i="13" s="1"/>
  <c r="A14" i="12"/>
  <c r="A27" i="12"/>
  <c r="AA73" i="18" l="1"/>
  <c r="AC73" i="18" s="1"/>
  <c r="AG73" i="18" s="1"/>
  <c r="AA61" i="18"/>
  <c r="AX61" i="18" s="1"/>
  <c r="AA49" i="18"/>
  <c r="AX49" i="18" s="1"/>
  <c r="AA13" i="18"/>
  <c r="AA37" i="18"/>
  <c r="AA25" i="18"/>
  <c r="L49" i="15"/>
  <c r="L49" i="14"/>
  <c r="L49" i="13"/>
  <c r="AH61" i="18" l="1"/>
  <c r="AH59" i="18" s="1"/>
  <c r="AJ59" i="18" s="1"/>
  <c r="AC49" i="18"/>
  <c r="AG49" i="18" s="1"/>
  <c r="AX73" i="18"/>
  <c r="BC73" i="18" s="1"/>
  <c r="BD73" i="18" s="1"/>
  <c r="BO49" i="18"/>
  <c r="AH49" i="18"/>
  <c r="BA49" i="18"/>
  <c r="BU49" i="18" s="1"/>
  <c r="BU50" i="18" s="1"/>
  <c r="AC61" i="18"/>
  <c r="AG61" i="18" s="1"/>
  <c r="AG57" i="18" s="1"/>
  <c r="BO61" i="18"/>
  <c r="BC61" i="18"/>
  <c r="BD61" i="18" s="1"/>
  <c r="BE61" i="18"/>
  <c r="BG61" i="18"/>
  <c r="AZ61" i="18"/>
  <c r="BA61" i="18"/>
  <c r="BU61" i="18" s="1"/>
  <c r="BU62" i="18" s="1"/>
  <c r="AH56" i="18"/>
  <c r="AJ56" i="18" s="1"/>
  <c r="AO56" i="18" s="1"/>
  <c r="AP56" i="18" s="1"/>
  <c r="AH73" i="18"/>
  <c r="AH68" i="18" s="1"/>
  <c r="AJ68" i="18" s="1"/>
  <c r="AH60" i="18"/>
  <c r="AJ60" i="18" s="1"/>
  <c r="AO60" i="18" s="1"/>
  <c r="AP60" i="18" s="1"/>
  <c r="AH58" i="18"/>
  <c r="AJ58" i="18" s="1"/>
  <c r="AO58" i="18" s="1"/>
  <c r="AP58" i="18" s="1"/>
  <c r="AH57" i="18"/>
  <c r="AJ57" i="18" s="1"/>
  <c r="AL57" i="18" s="1"/>
  <c r="AM57" i="18" s="1"/>
  <c r="AC25" i="18"/>
  <c r="AG25" i="18" s="1"/>
  <c r="BO25" i="18"/>
  <c r="AX25" i="18"/>
  <c r="AG70" i="18"/>
  <c r="AG69" i="18"/>
  <c r="AG72" i="18"/>
  <c r="AG68" i="18"/>
  <c r="AG71" i="18"/>
  <c r="AH45" i="18"/>
  <c r="AJ45" i="18" s="1"/>
  <c r="AH47" i="18"/>
  <c r="AJ47" i="18" s="1"/>
  <c r="AH46" i="18"/>
  <c r="AJ46" i="18" s="1"/>
  <c r="AH48" i="18"/>
  <c r="AJ48" i="18" s="1"/>
  <c r="AH44" i="18"/>
  <c r="AJ44" i="18" s="1"/>
  <c r="AG46" i="18"/>
  <c r="AG48" i="18"/>
  <c r="AG44" i="18"/>
  <c r="AG45" i="18"/>
  <c r="AG47" i="18"/>
  <c r="AL59" i="18"/>
  <c r="AM59" i="18" s="1"/>
  <c r="AO59" i="18"/>
  <c r="AP59" i="18" s="1"/>
  <c r="AC37" i="18"/>
  <c r="AG37" i="18" s="1"/>
  <c r="BO37" i="18"/>
  <c r="AX37" i="18"/>
  <c r="AZ73" i="18"/>
  <c r="BA73" i="18" s="1"/>
  <c r="BU73" i="18" s="1"/>
  <c r="BU74" i="18" s="1"/>
  <c r="BG73" i="18"/>
  <c r="BG49" i="18"/>
  <c r="BC49" i="18"/>
  <c r="BD49" i="18" s="1"/>
  <c r="BE49" i="18"/>
  <c r="AZ49" i="18"/>
  <c r="AC13" i="18"/>
  <c r="AG13" i="18" s="1"/>
  <c r="AG10" i="18" s="1"/>
  <c r="AX13" i="18"/>
  <c r="BE73" i="18" l="1"/>
  <c r="AL56" i="18"/>
  <c r="AH13" i="18"/>
  <c r="AH8" i="18" s="1"/>
  <c r="AJ8" i="18" s="1"/>
  <c r="AG11" i="18"/>
  <c r="AH25" i="18"/>
  <c r="AH21" i="18" s="1"/>
  <c r="AJ21" i="18" s="1"/>
  <c r="AG22" i="18"/>
  <c r="AG23" i="18"/>
  <c r="AG56" i="18"/>
  <c r="AH37" i="18"/>
  <c r="AH32" i="18" s="1"/>
  <c r="AJ32" i="18" s="1"/>
  <c r="AG34" i="18"/>
  <c r="AG35" i="18"/>
  <c r="BP61" i="18"/>
  <c r="BS61" i="18" s="1"/>
  <c r="BV61" i="18" s="1"/>
  <c r="BV62" i="18" s="1"/>
  <c r="BN61" i="18"/>
  <c r="AG59" i="18"/>
  <c r="BQ61" i="18"/>
  <c r="BT61" i="18" s="1"/>
  <c r="BW61" i="18" s="1"/>
  <c r="BW62" i="18" s="1"/>
  <c r="AH72" i="18"/>
  <c r="AJ72" i="18" s="1"/>
  <c r="AO72" i="18" s="1"/>
  <c r="AP72" i="18" s="1"/>
  <c r="AG60" i="18"/>
  <c r="AG58" i="18"/>
  <c r="AH70" i="18"/>
  <c r="AJ70" i="18" s="1"/>
  <c r="AL70" i="18" s="1"/>
  <c r="AM70" i="18" s="1"/>
  <c r="AH69" i="18"/>
  <c r="AJ69" i="18" s="1"/>
  <c r="AO69" i="18" s="1"/>
  <c r="AP69" i="18" s="1"/>
  <c r="AH71" i="18"/>
  <c r="AJ71" i="18" s="1"/>
  <c r="AL71" i="18" s="1"/>
  <c r="AM71" i="18" s="1"/>
  <c r="AL60" i="18"/>
  <c r="AM60" i="18" s="1"/>
  <c r="AR60" i="18" s="1"/>
  <c r="AT60" i="18" s="1"/>
  <c r="AL58" i="18"/>
  <c r="AM58" i="18" s="1"/>
  <c r="AR58" i="18" s="1"/>
  <c r="AT58" i="18" s="1"/>
  <c r="AO57" i="18"/>
  <c r="AP57" i="18" s="1"/>
  <c r="AR57" i="18" s="1"/>
  <c r="AT57" i="18" s="1"/>
  <c r="AJ61" i="18"/>
  <c r="AO61" i="18" s="1"/>
  <c r="AP61" i="18" s="1"/>
  <c r="BN73" i="18"/>
  <c r="BO73" i="18" s="1"/>
  <c r="BP73" i="18" s="1"/>
  <c r="BS73" i="18" s="1"/>
  <c r="BV73" i="18" s="1"/>
  <c r="BV74" i="18" s="1"/>
  <c r="BN49" i="18"/>
  <c r="AM56" i="18"/>
  <c r="BE13" i="18"/>
  <c r="AZ13" i="18"/>
  <c r="BA13" i="18" s="1"/>
  <c r="BU13" i="18" s="1"/>
  <c r="BU14" i="18" s="1"/>
  <c r="BG13" i="18"/>
  <c r="BC13" i="18"/>
  <c r="BD13" i="18" s="1"/>
  <c r="BE37" i="18"/>
  <c r="AZ37" i="18"/>
  <c r="BA37" i="18" s="1"/>
  <c r="BU37" i="18" s="1"/>
  <c r="BU38" i="18" s="1"/>
  <c r="BG37" i="18"/>
  <c r="BC37" i="18"/>
  <c r="BD37" i="18" s="1"/>
  <c r="AR59" i="18"/>
  <c r="AT59" i="18" s="1"/>
  <c r="AN59" i="18"/>
  <c r="AS59" i="18"/>
  <c r="AU59" i="18" s="1"/>
  <c r="AO48" i="18"/>
  <c r="AP48" i="18" s="1"/>
  <c r="AL48" i="18"/>
  <c r="AM48" i="18" s="1"/>
  <c r="AL68" i="18"/>
  <c r="AO68" i="18"/>
  <c r="AP68" i="18" s="1"/>
  <c r="AL69" i="18"/>
  <c r="AM69" i="18" s="1"/>
  <c r="BE25" i="18"/>
  <c r="AZ25" i="18"/>
  <c r="BA25" i="18" s="1"/>
  <c r="BU25" i="18" s="1"/>
  <c r="BU26" i="18" s="1"/>
  <c r="BG25" i="18"/>
  <c r="BC25" i="18"/>
  <c r="BD25" i="18" s="1"/>
  <c r="BQ49" i="18"/>
  <c r="BT49" i="18" s="1"/>
  <c r="BW49" i="18" s="1"/>
  <c r="BW50" i="18" s="1"/>
  <c r="BP49" i="18"/>
  <c r="BS49" i="18" s="1"/>
  <c r="BV49" i="18" s="1"/>
  <c r="BV50" i="18" s="1"/>
  <c r="AO46" i="18"/>
  <c r="AP46" i="18" s="1"/>
  <c r="AL46" i="18"/>
  <c r="AM46" i="18" s="1"/>
  <c r="AL45" i="18"/>
  <c r="AM45" i="18" s="1"/>
  <c r="AO45" i="18"/>
  <c r="AP45" i="18" s="1"/>
  <c r="AH12" i="18"/>
  <c r="AJ12" i="18" s="1"/>
  <c r="AJ49" i="18"/>
  <c r="AO49" i="18" s="1"/>
  <c r="AP49" i="18" s="1"/>
  <c r="AO44" i="18"/>
  <c r="AP44" i="18" s="1"/>
  <c r="AL44" i="18"/>
  <c r="AN57" i="18"/>
  <c r="AG9" i="18"/>
  <c r="AG8" i="18"/>
  <c r="AG12" i="18"/>
  <c r="AH36" i="18"/>
  <c r="AJ36" i="18" s="1"/>
  <c r="AG33" i="18"/>
  <c r="AG36" i="18"/>
  <c r="AG32" i="18"/>
  <c r="AL47" i="18"/>
  <c r="AM47" i="18" s="1"/>
  <c r="AO47" i="18"/>
  <c r="AP47" i="18" s="1"/>
  <c r="AS60" i="18"/>
  <c r="AU60" i="18" s="1"/>
  <c r="AG21" i="18"/>
  <c r="AG24" i="18"/>
  <c r="AG20" i="18"/>
  <c r="AL72" i="18" l="1"/>
  <c r="AM72" i="18" s="1"/>
  <c r="AH9" i="18"/>
  <c r="AJ9" i="18" s="1"/>
  <c r="AH20" i="18"/>
  <c r="AJ20" i="18" s="1"/>
  <c r="AL20" i="18" s="1"/>
  <c r="AH33" i="18"/>
  <c r="AJ33" i="18" s="1"/>
  <c r="AL33" i="18" s="1"/>
  <c r="AM33" i="18" s="1"/>
  <c r="AH24" i="18"/>
  <c r="AJ24" i="18" s="1"/>
  <c r="AH11" i="18"/>
  <c r="AJ11" i="18" s="1"/>
  <c r="AO11" i="18" s="1"/>
  <c r="AP11" i="18" s="1"/>
  <c r="AH10" i="18"/>
  <c r="AJ10" i="18" s="1"/>
  <c r="AN58" i="18"/>
  <c r="AL11" i="18"/>
  <c r="AM11" i="18" s="1"/>
  <c r="AH23" i="18"/>
  <c r="AJ23" i="18" s="1"/>
  <c r="AH22" i="18"/>
  <c r="AJ22" i="18" s="1"/>
  <c r="AH35" i="18"/>
  <c r="AJ35" i="18" s="1"/>
  <c r="AH34" i="18"/>
  <c r="AJ34" i="18" s="1"/>
  <c r="AO71" i="18"/>
  <c r="AP71" i="18" s="1"/>
  <c r="AS58" i="18"/>
  <c r="AU58" i="18" s="1"/>
  <c r="AO70" i="18"/>
  <c r="AP70" i="18" s="1"/>
  <c r="AS70" i="18" s="1"/>
  <c r="AU70" i="18" s="1"/>
  <c r="AN60" i="18"/>
  <c r="AL61" i="18"/>
  <c r="AM61" i="18" s="1"/>
  <c r="AT63" i="18" s="1"/>
  <c r="AS57" i="18"/>
  <c r="AU57" i="18" s="1"/>
  <c r="AJ73" i="18"/>
  <c r="AO73" i="18" s="1"/>
  <c r="AP73" i="18" s="1"/>
  <c r="BQ73" i="18"/>
  <c r="BT73" i="18" s="1"/>
  <c r="BW73" i="18" s="1"/>
  <c r="BW74" i="18" s="1"/>
  <c r="AK59" i="18"/>
  <c r="AK60" i="18"/>
  <c r="AK56" i="18"/>
  <c r="AK58" i="18"/>
  <c r="AK57" i="18"/>
  <c r="BN25" i="18"/>
  <c r="AK47" i="18"/>
  <c r="BN13" i="18"/>
  <c r="BO13" i="18" s="1"/>
  <c r="BQ13" i="18" s="1"/>
  <c r="BT13" i="18" s="1"/>
  <c r="BW13" i="18" s="1"/>
  <c r="BW14" i="18" s="1"/>
  <c r="AL24" i="18"/>
  <c r="AM24" i="18" s="1"/>
  <c r="AO24" i="18"/>
  <c r="AP24" i="18" s="1"/>
  <c r="AL36" i="18"/>
  <c r="AM36" i="18" s="1"/>
  <c r="AO36" i="18"/>
  <c r="AP36" i="18" s="1"/>
  <c r="AS46" i="18"/>
  <c r="AU46" i="18" s="1"/>
  <c r="AN46" i="18"/>
  <c r="AR46" i="18"/>
  <c r="AT46" i="18" s="1"/>
  <c r="AN70" i="18"/>
  <c r="AR47" i="18"/>
  <c r="AT47" i="18" s="1"/>
  <c r="AN47" i="18"/>
  <c r="AS47" i="18"/>
  <c r="AU47" i="18" s="1"/>
  <c r="AO33" i="18"/>
  <c r="AP33" i="18" s="1"/>
  <c r="AL12" i="18"/>
  <c r="AM12" i="18" s="1"/>
  <c r="AO12" i="18"/>
  <c r="AP12" i="18" s="1"/>
  <c r="AK46" i="18"/>
  <c r="BQ25" i="18"/>
  <c r="BT25" i="18" s="1"/>
  <c r="BW25" i="18" s="1"/>
  <c r="BW26" i="18" s="1"/>
  <c r="BP25" i="18"/>
  <c r="BS25" i="18" s="1"/>
  <c r="BV25" i="18" s="1"/>
  <c r="BV26" i="18" s="1"/>
  <c r="AL8" i="18"/>
  <c r="AO8" i="18"/>
  <c r="AP8" i="18" s="1"/>
  <c r="AS72" i="18"/>
  <c r="AU72" i="18" s="1"/>
  <c r="AR72" i="18"/>
  <c r="AT72" i="18" s="1"/>
  <c r="AN72" i="18"/>
  <c r="AM44" i="18"/>
  <c r="AL49" i="18"/>
  <c r="AM49" i="18" s="1"/>
  <c r="AK45" i="18"/>
  <c r="AS69" i="18"/>
  <c r="AU69" i="18" s="1"/>
  <c r="AR69" i="18"/>
  <c r="AT69" i="18" s="1"/>
  <c r="AN69" i="18"/>
  <c r="AM68" i="18"/>
  <c r="AS48" i="18"/>
  <c r="AU48" i="18" s="1"/>
  <c r="AR48" i="18"/>
  <c r="AT48" i="18" s="1"/>
  <c r="AN48" i="18"/>
  <c r="BN37" i="18"/>
  <c r="AS56" i="18"/>
  <c r="AU56" i="18" s="1"/>
  <c r="AR56" i="18"/>
  <c r="AT56" i="18" s="1"/>
  <c r="AN56" i="18"/>
  <c r="AL21" i="18"/>
  <c r="AM21" i="18" s="1"/>
  <c r="AO21" i="18"/>
  <c r="AP21" i="18" s="1"/>
  <c r="AR45" i="18"/>
  <c r="AT45" i="18" s="1"/>
  <c r="AN45" i="18"/>
  <c r="AS45" i="18"/>
  <c r="AU45" i="18" s="1"/>
  <c r="AJ25" i="18"/>
  <c r="AO25" i="18" s="1"/>
  <c r="AP25" i="18" s="1"/>
  <c r="AO20" i="18"/>
  <c r="AP20" i="18" s="1"/>
  <c r="AL32" i="18"/>
  <c r="AO32" i="18"/>
  <c r="AP32" i="18" s="1"/>
  <c r="AK44" i="18"/>
  <c r="AO9" i="18"/>
  <c r="AP9" i="18" s="1"/>
  <c r="AL9" i="18"/>
  <c r="AM9" i="18" s="1"/>
  <c r="AR71" i="18"/>
  <c r="AT71" i="18" s="1"/>
  <c r="AN71" i="18"/>
  <c r="AS71" i="18"/>
  <c r="AU71" i="18" s="1"/>
  <c r="AK48" i="18"/>
  <c r="BQ37" i="18"/>
  <c r="BT37" i="18" s="1"/>
  <c r="BW37" i="18" s="1"/>
  <c r="BW38" i="18" s="1"/>
  <c r="BP37" i="18"/>
  <c r="BS37" i="18" s="1"/>
  <c r="BV37" i="18" s="1"/>
  <c r="BV38" i="18" s="1"/>
  <c r="AR70" i="18" l="1"/>
  <c r="AT70" i="18" s="1"/>
  <c r="AK68" i="18"/>
  <c r="AJ37" i="18"/>
  <c r="AO37" i="18" s="1"/>
  <c r="AP37" i="18" s="1"/>
  <c r="AJ13" i="18"/>
  <c r="AO13" i="18" s="1"/>
  <c r="AP13" i="18" s="1"/>
  <c r="AO10" i="18"/>
  <c r="AP10" i="18" s="1"/>
  <c r="AL10" i="18"/>
  <c r="AM10" i="18" s="1"/>
  <c r="AN11" i="18"/>
  <c r="AR11" i="18"/>
  <c r="AT11" i="18" s="1"/>
  <c r="AS11" i="18"/>
  <c r="AU11" i="18" s="1"/>
  <c r="AK22" i="18"/>
  <c r="AO22" i="18"/>
  <c r="AP22" i="18" s="1"/>
  <c r="AL22" i="18"/>
  <c r="AM22" i="18" s="1"/>
  <c r="AL23" i="18"/>
  <c r="AM23" i="18" s="1"/>
  <c r="AO23" i="18"/>
  <c r="AP23" i="18" s="1"/>
  <c r="AK23" i="18"/>
  <c r="AK69" i="18"/>
  <c r="AK34" i="18"/>
  <c r="AO34" i="18"/>
  <c r="AP34" i="18" s="1"/>
  <c r="AL34" i="18"/>
  <c r="AM34" i="18" s="1"/>
  <c r="AL35" i="18"/>
  <c r="AM35" i="18" s="1"/>
  <c r="AO35" i="18"/>
  <c r="AP35" i="18" s="1"/>
  <c r="AK35" i="18"/>
  <c r="AK70" i="18"/>
  <c r="AS61" i="18"/>
  <c r="AU61" i="18" s="1"/>
  <c r="AK72" i="18"/>
  <c r="AK71" i="18"/>
  <c r="AN61" i="18"/>
  <c r="AU63" i="18"/>
  <c r="AL73" i="18"/>
  <c r="AM73" i="18" s="1"/>
  <c r="AU75" i="18" s="1"/>
  <c r="AR61" i="18"/>
  <c r="AT61" i="18" s="1"/>
  <c r="AK61" i="18"/>
  <c r="AK32" i="18"/>
  <c r="AK36" i="18"/>
  <c r="BP13" i="18"/>
  <c r="BS13" i="18" s="1"/>
  <c r="BV13" i="18" s="1"/>
  <c r="BV14" i="18" s="1"/>
  <c r="AK20" i="18"/>
  <c r="AK21" i="18"/>
  <c r="AK49" i="18"/>
  <c r="AK9" i="18"/>
  <c r="AT51" i="18"/>
  <c r="AR49" i="18"/>
  <c r="AT49" i="18" s="1"/>
  <c r="AN49" i="18"/>
  <c r="AU51" i="18"/>
  <c r="AS49" i="18"/>
  <c r="AU49" i="18" s="1"/>
  <c r="AS24" i="18"/>
  <c r="AU24" i="18" s="1"/>
  <c r="AN24" i="18"/>
  <c r="AR24" i="18"/>
  <c r="AT24" i="18" s="1"/>
  <c r="AS68" i="18"/>
  <c r="AU68" i="18" s="1"/>
  <c r="AR68" i="18"/>
  <c r="AT68" i="18" s="1"/>
  <c r="AN68" i="18"/>
  <c r="AS44" i="18"/>
  <c r="AU44" i="18" s="1"/>
  <c r="AR44" i="18"/>
  <c r="AT44" i="18" s="1"/>
  <c r="AN44" i="18"/>
  <c r="AR12" i="18"/>
  <c r="AT12" i="18" s="1"/>
  <c r="AN12" i="18"/>
  <c r="AS12" i="18"/>
  <c r="AU12" i="18" s="1"/>
  <c r="AK33" i="18"/>
  <c r="AS9" i="18"/>
  <c r="AU9" i="18" s="1"/>
  <c r="AN9" i="18"/>
  <c r="AR9" i="18"/>
  <c r="AT9" i="18" s="1"/>
  <c r="AS21" i="18"/>
  <c r="AU21" i="18" s="1"/>
  <c r="AR21" i="18"/>
  <c r="AT21" i="18" s="1"/>
  <c r="AN21" i="18"/>
  <c r="AM32" i="18"/>
  <c r="AL25" i="18"/>
  <c r="AM25" i="18" s="1"/>
  <c r="AM20" i="18"/>
  <c r="AS36" i="18"/>
  <c r="AU36" i="18" s="1"/>
  <c r="AN36" i="18"/>
  <c r="AR36" i="18"/>
  <c r="AT36" i="18" s="1"/>
  <c r="AK24" i="18"/>
  <c r="AM8" i="18"/>
  <c r="AS33" i="18"/>
  <c r="AU33" i="18" s="1"/>
  <c r="AR33" i="18"/>
  <c r="AT33" i="18" s="1"/>
  <c r="AN33" i="18"/>
  <c r="AK11" i="18" l="1"/>
  <c r="AK12" i="18"/>
  <c r="AK8" i="18"/>
  <c r="AK10" i="18"/>
  <c r="AK13" i="18" s="1"/>
  <c r="AN10" i="18"/>
  <c r="AR10" i="18"/>
  <c r="AT10" i="18" s="1"/>
  <c r="AS10" i="18"/>
  <c r="AU10" i="18" s="1"/>
  <c r="AL13" i="18"/>
  <c r="AM13" i="18" s="1"/>
  <c r="AU15" i="18" s="1"/>
  <c r="AN23" i="18"/>
  <c r="AR23" i="18"/>
  <c r="AT23" i="18" s="1"/>
  <c r="AS23" i="18"/>
  <c r="AU23" i="18" s="1"/>
  <c r="AS22" i="18"/>
  <c r="AU22" i="18" s="1"/>
  <c r="AN22" i="18"/>
  <c r="AR22" i="18"/>
  <c r="AT22" i="18" s="1"/>
  <c r="AS34" i="18"/>
  <c r="AU34" i="18" s="1"/>
  <c r="AN34" i="18"/>
  <c r="AR34" i="18"/>
  <c r="AT34" i="18" s="1"/>
  <c r="AK73" i="18"/>
  <c r="AL37" i="18"/>
  <c r="AM37" i="18" s="1"/>
  <c r="AS35" i="18"/>
  <c r="AU35" i="18" s="1"/>
  <c r="AN35" i="18"/>
  <c r="AR35" i="18"/>
  <c r="AT35" i="18" s="1"/>
  <c r="AR73" i="18"/>
  <c r="AT73" i="18" s="1"/>
  <c r="AT75" i="18"/>
  <c r="AS73" i="18"/>
  <c r="AU73" i="18" s="1"/>
  <c r="AN73" i="18"/>
  <c r="AK25" i="18"/>
  <c r="AK37" i="18"/>
  <c r="AS20" i="18"/>
  <c r="AU20" i="18" s="1"/>
  <c r="AR20" i="18"/>
  <c r="AT20" i="18" s="1"/>
  <c r="AN20" i="18"/>
  <c r="AS32" i="18"/>
  <c r="AU32" i="18" s="1"/>
  <c r="AR32" i="18"/>
  <c r="AT32" i="18" s="1"/>
  <c r="AN32" i="18"/>
  <c r="AR8" i="18"/>
  <c r="AT8" i="18" s="1"/>
  <c r="AN8" i="18"/>
  <c r="AS8" i="18"/>
  <c r="AU8" i="18" s="1"/>
  <c r="AU27" i="18"/>
  <c r="AS25" i="18"/>
  <c r="AU25" i="18" s="1"/>
  <c r="AT27" i="18"/>
  <c r="AR25" i="18"/>
  <c r="AT25" i="18" s="1"/>
  <c r="AN25" i="18"/>
  <c r="AT39" i="18"/>
  <c r="AR37" i="18"/>
  <c r="AT37" i="18" s="1"/>
  <c r="AN37" i="18"/>
  <c r="AS37" i="18"/>
  <c r="AU37" i="18" s="1"/>
  <c r="AU39" i="18"/>
  <c r="AR13" i="18" l="1"/>
  <c r="AT13" i="18" s="1"/>
  <c r="AT15" i="18"/>
  <c r="AS13" i="18"/>
  <c r="AU13" i="18" s="1"/>
  <c r="AN13" i="18"/>
</calcChain>
</file>

<file path=xl/sharedStrings.xml><?xml version="1.0" encoding="utf-8"?>
<sst xmlns="http://schemas.openxmlformats.org/spreadsheetml/2006/main" count="1282" uniqueCount="299">
  <si>
    <t>Intensivo</t>
  </si>
  <si>
    <t>Total</t>
  </si>
  <si>
    <t>años de seguimiento</t>
  </si>
  <si>
    <t>ACCORD 2008, 3,8y</t>
  </si>
  <si>
    <t>ADVANCE 2008, 5y</t>
  </si>
  <si>
    <t>UKPDS 1998, 10y</t>
  </si>
  <si>
    <t>VADT 2009, 5,6y</t>
  </si>
  <si>
    <t>Diseño</t>
  </si>
  <si>
    <t>RR (IC (95%)</t>
  </si>
  <si>
    <t>RAR (IC 95%)</t>
  </si>
  <si>
    <t>NNT (IC 95%)</t>
  </si>
  <si>
    <t>ECA</t>
  </si>
  <si>
    <t>1,26 (1,06-1,51)</t>
  </si>
  <si>
    <t>-1,05%  (-1,85% a -0,24%)</t>
  </si>
  <si>
    <t>-95  (-411 a -54)</t>
  </si>
  <si>
    <t>0,93 (0,83-1,05)</t>
  </si>
  <si>
    <t>0,63% (-0,45% a 1,71%)</t>
  </si>
  <si>
    <t>158 (59 a -224)</t>
  </si>
  <si>
    <t>0,96 (0,79-1,17)</t>
  </si>
  <si>
    <t>0,27% (-1,11% a 1,65%)</t>
  </si>
  <si>
    <t>371 (61 a -90)</t>
  </si>
  <si>
    <t>0,90 (0,79-1,02)</t>
  </si>
  <si>
    <t>1,95% (-0,48% a 4,29%)</t>
  </si>
  <si>
    <t>51 (23 a -207)</t>
  </si>
  <si>
    <t>1,08 (0,83-1,41)</t>
  </si>
  <si>
    <t>-0,87% (-3,78% a 2,05%)</t>
  </si>
  <si>
    <t>-115 (49 a -26)</t>
  </si>
  <si>
    <t>1,01 (0,89-1,13)</t>
  </si>
  <si>
    <t>ACV totales</t>
  </si>
  <si>
    <t>1.05 (0.77, 1.45)</t>
  </si>
  <si>
    <t>-0,08% (-0,54% a 0,39%)</t>
  </si>
  <si>
    <t>-1305 (256 a -184)</t>
  </si>
  <si>
    <t>0.97 (0.81, 1.15)</t>
  </si>
  <si>
    <t>0,15% (-0,61% a 0,9%)</t>
  </si>
  <si>
    <t>689 (111 a -163)</t>
  </si>
  <si>
    <t>0.81 (0.61, 1.07)</t>
  </si>
  <si>
    <t>0,76% (-0,27% a 1,79%)</t>
  </si>
  <si>
    <t>131 (56 a -372)</t>
  </si>
  <si>
    <t>1.03 (0.79, 1.35)</t>
  </si>
  <si>
    <t>-0,17% (-1,58% a 1,12%)</t>
  </si>
  <si>
    <t>-573 (89 a -63)</t>
  </si>
  <si>
    <t>0.78 (0.48, 1.27)</t>
  </si>
  <si>
    <t>0,87% (-0,91% a 2,61%)</t>
  </si>
  <si>
    <t>116 (38 a -110)</t>
  </si>
  <si>
    <t>0.95 (0.85-1.07)</t>
  </si>
  <si>
    <t>IAM no fatal</t>
  </si>
  <si>
    <t>0,79 (0,65-0,95)</t>
  </si>
  <si>
    <t>0,96% (0,19% a 1,73%)</t>
  </si>
  <si>
    <t>104 (58 a 535)</t>
  </si>
  <si>
    <t>0,98 (0,79-1,22)</t>
  </si>
  <si>
    <t>0,05% (-0,56% a 0,67%)</t>
  </si>
  <si>
    <t>1823 (150 a -179)</t>
  </si>
  <si>
    <t>0,84 (0,66-1,06)</t>
  </si>
  <si>
    <t>0,9% (-0,29% a 2,09%)</t>
  </si>
  <si>
    <t>111 (48 a -345)</t>
  </si>
  <si>
    <t>0,79 (0,65-0,97)</t>
  </si>
  <si>
    <t>1,91% (0,15% a 3,55%)</t>
  </si>
  <si>
    <t>52 (28 a 686)</t>
  </si>
  <si>
    <t>0,83 (0,6-1,14)</t>
  </si>
  <si>
    <t>1,5% (-1,02% a 4,02%)</t>
  </si>
  <si>
    <t>67 (25 a -98)</t>
  </si>
  <si>
    <t>0,84 (0,76-0,93)</t>
  </si>
  <si>
    <t>0,16% (0,07% a 0,24%)</t>
  </si>
  <si>
    <t>IAM fatal</t>
  </si>
  <si>
    <t>1,46 (0,72-2,95)</t>
  </si>
  <si>
    <t>-0,12% (-0,34% a 0,12%)</t>
  </si>
  <si>
    <t>-856 (862 a -294)</t>
  </si>
  <si>
    <t>0,87 (0,7-1,07)</t>
  </si>
  <si>
    <t>0,43% (-0,21% a 1,07%)</t>
  </si>
  <si>
    <t>231 (93 a -477)</t>
  </si>
  <si>
    <t>0,78 (0,53-1,15)</t>
  </si>
  <si>
    <t>0,48% (-0,29% a 1,23%)</t>
  </si>
  <si>
    <t>210 (81 a -341)</t>
  </si>
  <si>
    <t>0,88 (0,7-1,09)</t>
  </si>
  <si>
    <t>0,94% (-0,71% a 2,48%)</t>
  </si>
  <si>
    <t>106 (40 a -141)</t>
  </si>
  <si>
    <t>1,09 (0,5-2,38)</t>
  </si>
  <si>
    <t>-0,12% (-1,28% a 1,05%)</t>
  </si>
  <si>
    <t>-816 (96 a -78)</t>
  </si>
  <si>
    <t>0,88 (0,77-1,01)</t>
  </si>
  <si>
    <t>0,83 (0,69,-0,99)</t>
  </si>
  <si>
    <t>0,84% (0,04% a 1,64%)</t>
  </si>
  <si>
    <t>119 (61 a 2310)</t>
  </si>
  <si>
    <t>0,92 (0,79-1,07)</t>
  </si>
  <si>
    <t>0,49% (-0,38% a 1,36%)</t>
  </si>
  <si>
    <t>205 (74 a -260)</t>
  </si>
  <si>
    <t>0,82 (0,67-1,00)</t>
  </si>
  <si>
    <t>1,38% (-0,01% a 2,76%)</t>
  </si>
  <si>
    <t>73 (36 a -10007)</t>
  </si>
  <si>
    <t>0,83 (0,72-0,96)</t>
  </si>
  <si>
    <t>2,85% (0,58% a 5,03%)</t>
  </si>
  <si>
    <t>35 (20 a 173)</t>
  </si>
  <si>
    <t>0.86 (0.65, 1.15)</t>
  </si>
  <si>
    <t>1,38% (-1,33% a 4,08%)</t>
  </si>
  <si>
    <t>73 (24 a -75)</t>
  </si>
  <si>
    <t>0,85 (0,79-0,92)</t>
  </si>
  <si>
    <t>3,00 (2,55-3,54)</t>
  </si>
  <si>
    <t>-7,00% (-7,97% a -6,01%)</t>
  </si>
  <si>
    <t>-14 (-13 a -17)</t>
  </si>
  <si>
    <t>1,85 (1,42-2,42)</t>
  </si>
  <si>
    <t>-1,24% (-1,76% a -0,7%)</t>
  </si>
  <si>
    <t>-81 (-57 a -143)</t>
  </si>
  <si>
    <t>1,75 (0,83-3,66)</t>
  </si>
  <si>
    <t>-0,31% (-0,73% a 0,14%)</t>
  </si>
  <si>
    <t>-321 (739 a -137)</t>
  </si>
  <si>
    <t>1,9 (1,56-2,33)</t>
  </si>
  <si>
    <t>-6,48% (-4,75 a -8,3%)</t>
  </si>
  <si>
    <t>-15 (-12 a -21)</t>
  </si>
  <si>
    <t>2,59 (1,69-3,97)</t>
  </si>
  <si>
    <t>-4,96% (-7,06% a -2,77%)</t>
  </si>
  <si>
    <t>-20 (-14 a -36)</t>
  </si>
  <si>
    <t>2,23 (1,72-2,89)</t>
  </si>
  <si>
    <t>623 (416 a 1425)</t>
  </si>
  <si>
    <t>0,8% (0,35% a 1,21%)</t>
  </si>
  <si>
    <t>124 (83 a 284)</t>
  </si>
  <si>
    <t>Moderada</t>
  </si>
  <si>
    <t>Alta-Moderada</t>
  </si>
  <si>
    <t xml:space="preserve">% RA control = </t>
  </si>
  <si>
    <t>RR (IC 95%) obtenido en el metaanálisis</t>
  </si>
  <si>
    <t>Estimación puntual</t>
  </si>
  <si>
    <t>(</t>
  </si>
  <si>
    <t>-</t>
  </si>
  <si>
    <t>)</t>
  </si>
  <si>
    <t>%</t>
  </si>
  <si>
    <t>% RA control</t>
  </si>
  <si>
    <t>RR (IC 95%)</t>
  </si>
  <si>
    <t>RAR (IC95%)</t>
  </si>
  <si>
    <t>a</t>
  </si>
  <si>
    <t>Años de seguimiento</t>
  </si>
  <si>
    <t>Nº personas-año</t>
  </si>
  <si>
    <t>Eventos / 100 personas-año</t>
  </si>
  <si>
    <t>Media de edad (años)</t>
  </si>
  <si>
    <t>convencional</t>
  </si>
  <si>
    <t>Ambos grupos combinados</t>
  </si>
  <si>
    <t>/</t>
  </si>
  <si>
    <t>Puntuación ordinal de importancia o aversión al riesgo</t>
  </si>
  <si>
    <t>Estudios individuales</t>
  </si>
  <si>
    <t>Heteroge-neidad</t>
  </si>
  <si>
    <t xml:space="preserve">Años de seguimiento (media o mediana) </t>
  </si>
  <si>
    <t>Edad media, años</t>
  </si>
  <si>
    <t>Peso de los estudios (modelo efectos aleatorios)</t>
  </si>
  <si>
    <t>Cálculo por incidencias acumuladas</t>
  </si>
  <si>
    <t>Validez de la evidencia</t>
  </si>
  <si>
    <t>Total estudios:</t>
  </si>
  <si>
    <t xml:space="preserve"> % Eventos, Grupo Intensivo</t>
  </si>
  <si>
    <t xml:space="preserve"> % Eventos, Grupo convencional</t>
  </si>
  <si>
    <t>METAANÁLISIS</t>
  </si>
  <si>
    <t xml:space="preserve">Aplicando al </t>
  </si>
  <si>
    <t xml:space="preserve">  de eventos/año en el control, para una edad media de </t>
  </si>
  <si>
    <t>años de edad</t>
  </si>
  <si>
    <t xml:space="preserve"> por año</t>
  </si>
  <si>
    <t xml:space="preserve">de eventos estimados en el control en </t>
  </si>
  <si>
    <t xml:space="preserve">Intervalo de predicción al 95%: </t>
  </si>
  <si>
    <t>En años</t>
  </si>
  <si>
    <t>Pob MA /1000</t>
  </si>
  <si>
    <t>Variable buscada</t>
  </si>
  <si>
    <t>Nº pacientes grupo intervención</t>
  </si>
  <si>
    <t>Nº pacientes grupo control</t>
  </si>
  <si>
    <t>Si evento</t>
  </si>
  <si>
    <t>No evento</t>
  </si>
  <si>
    <t>Riesgo basal control en 1 año</t>
  </si>
  <si>
    <t>LI IC 95%</t>
  </si>
  <si>
    <t>LS IC 95%</t>
  </si>
  <si>
    <t>nº de años</t>
  </si>
  <si>
    <t>% RA Vit D + Caerv</t>
  </si>
  <si>
    <t>%Ev en nº de años</t>
  </si>
  <si>
    <t>% RA Interv</t>
  </si>
  <si>
    <r>
      <t>I</t>
    </r>
    <r>
      <rPr>
        <b/>
        <i/>
        <vertAlign val="superscript"/>
        <sz val="14"/>
        <color rgb="FF009900"/>
        <rFont val="Calibri"/>
        <family val="2"/>
      </rPr>
      <t xml:space="preserve">2 </t>
    </r>
    <r>
      <rPr>
        <b/>
        <sz val="14"/>
        <color rgb="FF009900"/>
        <rFont val="Calibri"/>
        <family val="2"/>
      </rPr>
      <t>= 0%</t>
    </r>
  </si>
  <si>
    <t>0,84%</t>
  </si>
  <si>
    <t>1%</t>
  </si>
  <si>
    <t>en 5 años</t>
  </si>
  <si>
    <t>4,22%</t>
  </si>
  <si>
    <t>5,02%</t>
  </si>
  <si>
    <t>Si</t>
  </si>
  <si>
    <t>poner</t>
  </si>
  <si>
    <t>METAANÁLISIS POR EL MÉTODO DE INVERSO DE LA VARIANZA</t>
  </si>
  <si>
    <t>MODELO DE EFECTOS FIJOS, CON CADA PESO SEGÚN SU RESPECTIVO INVERSO DE LA VARIANZA</t>
  </si>
  <si>
    <t>MODELO DE EFECTOS ALEATORIOS, CON LOS PESOS SEGÚN DerSimonian-Laird</t>
  </si>
  <si>
    <t>ÍNDICE DE HETEROGENEIDAD</t>
  </si>
  <si>
    <t>suma (wi * ln RRi)</t>
  </si>
  <si>
    <r>
      <t>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>=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*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 /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</si>
  <si>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RR</t>
    </r>
    <r>
      <rPr>
        <vertAlign val="subscript"/>
        <sz val="10"/>
        <rFont val="Calibri"/>
        <family val="2"/>
      </rPr>
      <t>comb</t>
    </r>
  </si>
  <si>
    <r>
      <t>EE del ln RR</t>
    </r>
    <r>
      <rPr>
        <vertAlign val="subscript"/>
        <sz val="10"/>
        <rFont val="Calibri"/>
        <family val="2"/>
      </rPr>
      <t>comb</t>
    </r>
  </si>
  <si>
    <t>Z α/2 (0,05)</t>
  </si>
  <si>
    <r>
      <t>ln LI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</si>
  <si>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+ Z α/2 *EE</t>
    </r>
  </si>
  <si>
    <r>
      <t xml:space="preserve"> [ln(RRi) – ln(RR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)]</t>
    </r>
    <r>
      <rPr>
        <vertAlign val="superscript"/>
        <sz val="10"/>
        <rFont val="Calibri"/>
        <family val="2"/>
      </rPr>
      <t>2</t>
    </r>
  </si>
  <si>
    <t>k</t>
  </si>
  <si>
    <t xml:space="preserve"> [Q – (k-1)]</t>
  </si>
  <si>
    <r>
      <t>ln(RR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</si>
  <si>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 xml:space="preserve"> RR</t>
    </r>
    <r>
      <rPr>
        <vertAlign val="subscript"/>
        <sz val="10"/>
        <rFont val="Calibri"/>
        <family val="2"/>
      </rPr>
      <t>DL</t>
    </r>
  </si>
  <si>
    <r>
      <t>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= 1/w*</t>
    </r>
  </si>
  <si>
    <r>
      <t>EE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= Raíz (var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</si>
  <si>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>ln LI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</si>
  <si>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+ Z α/2 *EE</t>
    </r>
  </si>
  <si>
    <t>Q</t>
  </si>
  <si>
    <t>ln Q</t>
  </si>
  <si>
    <t>ln k-1</t>
  </si>
  <si>
    <t>Raíz 2Q</t>
  </si>
  <si>
    <t>Raíz(2k-3)</t>
  </si>
  <si>
    <t>2(k-2)</t>
  </si>
  <si>
    <t>A</t>
  </si>
  <si>
    <t>B</t>
  </si>
  <si>
    <t xml:space="preserve">Como Q =&lt; k, Utilizar 1ª EE </t>
  </si>
  <si>
    <t xml:space="preserve">Interpretación </t>
  </si>
  <si>
    <t>Intevalo de predicción al 95%</t>
  </si>
  <si>
    <t>0,84 (0,71-0,99)</t>
  </si>
  <si>
    <t>Mort</t>
  </si>
  <si>
    <r>
      <t>I</t>
    </r>
    <r>
      <rPr>
        <b/>
        <i/>
        <vertAlign val="superscript"/>
        <sz val="14"/>
        <color rgb="FFFFC000"/>
        <rFont val="Calibri"/>
        <family val="2"/>
      </rPr>
      <t xml:space="preserve">2 </t>
    </r>
    <r>
      <rPr>
        <b/>
        <sz val="14"/>
        <color rgb="FFFFC000"/>
        <rFont val="Calibri"/>
        <family val="2"/>
      </rPr>
      <t>= 63%</t>
    </r>
  </si>
  <si>
    <t>1,77%</t>
  </si>
  <si>
    <t>1,75%</t>
  </si>
  <si>
    <t>-0,02% (-0,23% a 0,19%)</t>
  </si>
  <si>
    <t>-5702 (518 a -439)</t>
  </si>
  <si>
    <t>8,88%</t>
  </si>
  <si>
    <t>8,79%</t>
  </si>
  <si>
    <t>-0,09% (-1,14% a 0,97%)</t>
  </si>
  <si>
    <t>-1138 (103 a -88)</t>
  </si>
  <si>
    <t>1,01 (0,70-1,44)</t>
  </si>
  <si>
    <t>0,95 (0,85-1,07)</t>
  </si>
  <si>
    <t>0,04% (-0,05% a 0,11%)</t>
  </si>
  <si>
    <t>2791 (930 a -1993)</t>
  </si>
  <si>
    <t>0,18% (-0,25% a 0,54%)</t>
  </si>
  <si>
    <t>557 (186 a -398)</t>
  </si>
  <si>
    <t>0.95 (0.79-1,15)</t>
  </si>
  <si>
    <t>0,06% (-0,01% a 0,12%)</t>
  </si>
  <si>
    <t>1641 (856 a -19688)</t>
  </si>
  <si>
    <t>0,31% (-0,03% a 0,59%)</t>
  </si>
  <si>
    <t>327 (171 a -3929)</t>
  </si>
  <si>
    <t>0,88 (0,71-1,10)</t>
  </si>
  <si>
    <t>EnfCor (IAM fatal+No fatal</t>
  </si>
  <si>
    <t>0,85 (0,75-0,97)</t>
  </si>
  <si>
    <t>Hipoglucemia grave  [expresadas en número de hipoglucemias graves, y no en número de pacientes con hipoglucemia gave]</t>
  </si>
  <si>
    <r>
      <t>I</t>
    </r>
    <r>
      <rPr>
        <b/>
        <i/>
        <vertAlign val="superscript"/>
        <sz val="14"/>
        <color rgb="FFFF0000"/>
        <rFont val="Calibri"/>
        <family val="2"/>
      </rPr>
      <t xml:space="preserve">2 </t>
    </r>
    <r>
      <rPr>
        <b/>
        <sz val="14"/>
        <color rgb="FFFF0000"/>
        <rFont val="Calibri"/>
        <family val="2"/>
      </rPr>
      <t>= 76%</t>
    </r>
  </si>
  <si>
    <t>-0,67% (-1,03% a -0,39%)</t>
  </si>
  <si>
    <t>-149 (-255 a -97)</t>
  </si>
  <si>
    <t>-3,36% (-5,16% a -1,97%)</t>
  </si>
  <si>
    <t>-30 (-51 a -19)</t>
  </si>
  <si>
    <t>Ambos</t>
  </si>
  <si>
    <t xml:space="preserve">ECAs que informan de: </t>
  </si>
  <si>
    <t>Intervención</t>
  </si>
  <si>
    <t>Control</t>
  </si>
  <si>
    <t>control</t>
  </si>
  <si>
    <t>Nº Eventos / total pacientes; Grupo Intervención</t>
  </si>
  <si>
    <t xml:space="preserve"> % Eventos/ año, Grupo Intervención</t>
  </si>
  <si>
    <t>Nº Eventos / total pacientes; Grupo control</t>
  </si>
  <si>
    <t xml:space="preserve"> % Eventos/ año, Grupo control</t>
  </si>
  <si>
    <t>Si aplicamos el Modelo de efectos aleatorios</t>
  </si>
  <si>
    <t>1,28%</t>
  </si>
  <si>
    <t>1,51%</t>
  </si>
  <si>
    <t>0,23% (0,12% a 0,32%)</t>
  </si>
  <si>
    <t>441 (315 a 828)</t>
  </si>
  <si>
    <t>6,43%</t>
  </si>
  <si>
    <t>7,57%</t>
  </si>
  <si>
    <t>1,14% (0,61% a 1,59%)</t>
  </si>
  <si>
    <t>88 (63 a 165)</t>
  </si>
  <si>
    <t>1,22%</t>
  </si>
  <si>
    <t>0,55%</t>
  </si>
  <si>
    <t>6,09%</t>
  </si>
  <si>
    <t>2,73%</t>
  </si>
  <si>
    <t>PROactive 2005, 2,8y</t>
  </si>
  <si>
    <r>
      <rPr>
        <b/>
        <sz val="14"/>
        <color indexed="60"/>
        <rFont val="Calibri"/>
        <family val="2"/>
      </rPr>
      <t>Tabla 4:</t>
    </r>
    <r>
      <rPr>
        <b/>
        <sz val="14"/>
        <rFont val="Calibri"/>
        <family val="2"/>
      </rPr>
      <t xml:space="preserve">  </t>
    </r>
  </si>
  <si>
    <r>
      <rPr>
        <b/>
        <sz val="14"/>
        <color indexed="60"/>
        <rFont val="Calibri"/>
        <family val="2"/>
      </rPr>
      <t>Tabla 5:</t>
    </r>
    <r>
      <rPr>
        <b/>
        <sz val="14"/>
        <rFont val="Calibri"/>
        <family val="2"/>
      </rPr>
      <t xml:space="preserve">  </t>
    </r>
  </si>
  <si>
    <r>
      <rPr>
        <b/>
        <sz val="14"/>
        <color indexed="60"/>
        <rFont val="Calibri"/>
        <family val="2"/>
      </rPr>
      <t>Tabla 6:</t>
    </r>
    <r>
      <rPr>
        <b/>
        <sz val="14"/>
        <rFont val="Calibri"/>
        <family val="2"/>
      </rPr>
      <t xml:space="preserve">  </t>
    </r>
  </si>
  <si>
    <r>
      <rPr>
        <b/>
        <sz val="14"/>
        <color indexed="60"/>
        <rFont val="Calibri"/>
        <family val="2"/>
      </rPr>
      <t>Tabla 7:</t>
    </r>
    <r>
      <rPr>
        <b/>
        <sz val="14"/>
        <rFont val="Calibri"/>
        <family val="2"/>
      </rPr>
      <t xml:space="preserve">  </t>
    </r>
  </si>
  <si>
    <r>
      <rPr>
        <b/>
        <sz val="14"/>
        <color indexed="60"/>
        <rFont val="Calibri"/>
        <family val="2"/>
      </rPr>
      <t>Tabla 8:</t>
    </r>
    <r>
      <rPr>
        <b/>
        <sz val="14"/>
        <rFont val="Calibri"/>
        <family val="2"/>
      </rPr>
      <t xml:space="preserve">  </t>
    </r>
  </si>
  <si>
    <r>
      <rPr>
        <b/>
        <sz val="14"/>
        <color indexed="60"/>
        <rFont val="Calibri"/>
        <family val="2"/>
      </rPr>
      <t>Tabla 3:</t>
    </r>
    <r>
      <rPr>
        <b/>
        <sz val="14"/>
        <rFont val="Calibri"/>
        <family val="2"/>
      </rPr>
      <t xml:space="preserve">  </t>
    </r>
  </si>
  <si>
    <r>
      <t>RR</t>
    </r>
    <r>
      <rPr>
        <vertAlign val="subscript"/>
        <sz val="10"/>
        <rFont val="Calibri"/>
        <family val="2"/>
      </rPr>
      <t>i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</si>
  <si>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= varianza del ln RR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</si>
  <si>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Peso =1/ varianza del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</t>
    </r>
  </si>
  <si>
    <r>
      <t>ln RR</t>
    </r>
    <r>
      <rPr>
        <vertAlign val="subscript"/>
        <sz val="10"/>
        <rFont val="Calibri"/>
        <family val="2"/>
      </rPr>
      <t>i</t>
    </r>
  </si>
  <si>
    <r>
      <t>Q = Suma [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x (ln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–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]</t>
    </r>
  </si>
  <si>
    <r>
      <t>suma(w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</si>
  <si>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</si>
  <si>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[suma(w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 suma(wi)]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</si>
  <si>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</si>
  <si>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</t>
    </r>
    <r>
      <rPr>
        <i/>
        <sz val="10"/>
        <rFont val="Calibri"/>
        <family val="2"/>
      </rPr>
      <t>τ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</si>
  <si>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= 1/w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</si>
  <si>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= 1/ (</t>
    </r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+ 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</si>
  <si>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%w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*/suma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</t>
    </r>
  </si>
  <si>
    <r>
      <t>[w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x ln(RR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]</t>
    </r>
  </si>
  <si>
    <r>
      <rPr>
        <i/>
        <sz val="12"/>
        <rFont val="Calibri"/>
        <family val="2"/>
      </rPr>
      <t>I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teórica</t>
    </r>
  </si>
  <si>
    <r>
      <rPr>
        <i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 </t>
    </r>
  </si>
  <si>
    <r>
      <t>H</t>
    </r>
    <r>
      <rPr>
        <vertAlign val="superscript"/>
        <sz val="10"/>
        <rFont val="Calibri"/>
        <family val="2"/>
      </rPr>
      <t>2</t>
    </r>
  </si>
  <si>
    <r>
      <t>ln H</t>
    </r>
    <r>
      <rPr>
        <vertAlign val="superscript"/>
        <sz val="10"/>
        <rFont val="Calibri"/>
        <family val="2"/>
      </rPr>
      <t>2</t>
    </r>
  </si>
  <si>
    <r>
      <t>3(k-2)</t>
    </r>
    <r>
      <rPr>
        <vertAlign val="superscript"/>
        <sz val="10"/>
        <rFont val="Calibri"/>
        <family val="2"/>
      </rPr>
      <t>2</t>
    </r>
  </si>
  <si>
    <r>
      <t>1º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si Q =&lt; K</t>
    </r>
  </si>
  <si>
    <r>
      <t>2º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 sí Q  &gt; K</t>
    </r>
  </si>
  <si>
    <r>
      <t>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que utilizo</t>
    </r>
  </si>
  <si>
    <r>
      <t>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- 1,96 *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</t>
    </r>
  </si>
  <si>
    <r>
      <t>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+ 1,96 *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</t>
    </r>
  </si>
  <si>
    <r>
      <t>lím inferior IC de H</t>
    </r>
    <r>
      <rPr>
        <vertAlign val="superscript"/>
        <sz val="10"/>
        <rFont val="Calibri"/>
        <family val="2"/>
      </rPr>
      <t>2</t>
    </r>
  </si>
  <si>
    <r>
      <t>lím superior IC de H</t>
    </r>
    <r>
      <rPr>
        <vertAlign val="superscript"/>
        <sz val="10"/>
        <rFont val="Calibri"/>
        <family val="2"/>
      </rPr>
      <t>2</t>
    </r>
  </si>
  <si>
    <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utilzar</t>
    </r>
  </si>
  <si>
    <r>
      <t>lím inferior IC de I</t>
    </r>
    <r>
      <rPr>
        <vertAlign val="superscript"/>
        <sz val="10"/>
        <rFont val="Calibri"/>
        <family val="2"/>
      </rPr>
      <t>2</t>
    </r>
  </si>
  <si>
    <r>
      <t>lím superior IC de I</t>
    </r>
    <r>
      <rPr>
        <vertAlign val="superscript"/>
        <sz val="10"/>
        <rFont val="Calibri"/>
        <family val="2"/>
      </rPr>
      <t>2</t>
    </r>
  </si>
  <si>
    <r>
      <t>t</t>
    </r>
    <r>
      <rPr>
        <sz val="10"/>
        <rFont val="Calibri"/>
        <family val="2"/>
      </rPr>
      <t xml:space="preserve"> teórica"= </t>
    </r>
    <r>
      <rPr>
        <i/>
        <sz val="10"/>
        <rFont val="Calibri"/>
        <family val="2"/>
      </rPr>
      <t xml:space="preserve"> t</t>
    </r>
    <r>
      <rPr>
        <vertAlign val="subscript"/>
        <sz val="10"/>
        <rFont val="Calibri"/>
        <family val="2"/>
      </rPr>
      <t>(k-2)- α/2)</t>
    </r>
    <r>
      <rPr>
        <sz val="10"/>
        <rFont val="Calibri"/>
        <family val="2"/>
      </rPr>
      <t xml:space="preserve"> =</t>
    </r>
  </si>
  <si>
    <t>Alta</t>
  </si>
  <si>
    <t>Baja</t>
  </si>
  <si>
    <t>Muy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</si>
</sst>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0.000%"/>
    <numFmt numFmtId="167" formatCode="_-* #,##0.000\ _€_-;\-* #,##0.000\ _€_-;_-* &quot;-&quot;??\ _€_-;_-@_-"/>
    <numFmt numFmtId="168" formatCode="_-* #,##0.0000\ _€_-;\-* #,##0.0000\ _€_-;_-* &quot;-&quot;??\ _€_-;_-@_-"/>
    <numFmt numFmtId="169" formatCode="_-* #,##0.000000\ _€_-;\-* #,##0.000000\ _€_-;_-* &quot;-&quot;??\ _€_-;_-@_-"/>
    <numFmt numFmtId="170" formatCode="0.0000%"/>
    <numFmt numFmtId="171" formatCode="#,##0.0"/>
    <numFmt numFmtId="172" formatCode="0.0"/>
    <numFmt numFmtId="173" formatCode="0.000"/>
    <numFmt numFmtId="174" formatCode="_-* #,##0.000\ _€_-;\-* #,##0.000\ _€_-;_-* &quot;-&quot;???\ _€_-;_-@_-"/>
    <numFmt numFmtId="175" formatCode="0.0000"/>
    <numFmt numFmtId="176" formatCode="_-* #,##0.00000000\ _€_-;\-* #,##0.00000000\ _€_-;_-* &quot;-&quot;????????\ _€_-;_-@_-"/>
    <numFmt numFmtId="177" formatCode="0.00000000000000000000000000000000000000000000000000000000000000000000000000000000000000000"/>
    <numFmt numFmtId="178" formatCode="_-* #,##0.00000\ _€_-;\-* #,##0.00000\ _€_-;_-* &quot;-&quot;??\ _€_-;_-@_-"/>
    <numFmt numFmtId="179" formatCode="#,##0_ ;\-#,##0\ "/>
    <numFmt numFmtId="180" formatCode="0.000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009900"/>
      <name val="Calibri"/>
      <family val="2"/>
      <scheme val="minor"/>
    </font>
    <font>
      <sz val="10"/>
      <color rgb="FF0099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  <scheme val="minor"/>
    </font>
    <font>
      <i/>
      <sz val="10"/>
      <name val="Calibri"/>
      <family val="2"/>
    </font>
    <font>
      <b/>
      <sz val="13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i/>
      <sz val="14"/>
      <color rgb="FF009900"/>
      <name val="Calibri"/>
      <family val="2"/>
    </font>
    <font>
      <b/>
      <i/>
      <vertAlign val="superscript"/>
      <sz val="14"/>
      <color rgb="FF009900"/>
      <name val="Calibri"/>
      <family val="2"/>
    </font>
    <font>
      <b/>
      <sz val="14"/>
      <color rgb="FF009900"/>
      <name val="Calibri"/>
      <family val="2"/>
    </font>
    <font>
      <sz val="14"/>
      <color rgb="FF009900"/>
      <name val="Calibri"/>
      <family val="2"/>
    </font>
    <font>
      <i/>
      <sz val="10"/>
      <color indexed="10"/>
      <name val="Calibri"/>
      <family val="2"/>
      <scheme val="minor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1"/>
      <charset val="2"/>
      <scheme val="minor"/>
    </font>
    <font>
      <i/>
      <sz val="10"/>
      <name val="Symbol"/>
      <family val="1"/>
      <charset val="2"/>
    </font>
    <font>
      <i/>
      <vertAlign val="superscript"/>
      <sz val="10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4"/>
      <color rgb="FFFFC000"/>
      <name val="Calibri"/>
      <family val="2"/>
    </font>
    <font>
      <b/>
      <i/>
      <vertAlign val="superscript"/>
      <sz val="14"/>
      <color rgb="FFFFC000"/>
      <name val="Calibri"/>
      <family val="2"/>
    </font>
    <font>
      <b/>
      <sz val="14"/>
      <color rgb="FFFFC000"/>
      <name val="Calibri"/>
      <family val="2"/>
    </font>
    <font>
      <b/>
      <sz val="14"/>
      <color rgb="FFFF0000"/>
      <name val="Calibri"/>
      <family val="2"/>
    </font>
    <font>
      <sz val="12"/>
      <color theme="1"/>
      <name val="Calibri"/>
      <family val="2"/>
    </font>
    <font>
      <b/>
      <i/>
      <sz val="14"/>
      <color rgb="FFFF0000"/>
      <name val="Calibri"/>
      <family val="2"/>
    </font>
    <font>
      <b/>
      <i/>
      <vertAlign val="superscript"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indexed="60"/>
      <name val="Calibri"/>
      <family val="2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6600"/>
      <name val="Calibri"/>
      <family val="2"/>
    </font>
    <font>
      <sz val="10"/>
      <color rgb="FFFF6600"/>
      <name val="Calibri"/>
      <family val="2"/>
      <scheme val="minor"/>
    </font>
    <font>
      <b/>
      <sz val="14"/>
      <color rgb="FFFF6600"/>
      <name val="Calibri"/>
      <family val="2"/>
      <scheme val="minor"/>
    </font>
    <font>
      <sz val="10"/>
      <color rgb="FFFF9900"/>
      <name val="Calibri"/>
      <family val="2"/>
      <scheme val="minor"/>
    </font>
    <font>
      <sz val="10"/>
      <color rgb="FFFF6600"/>
      <name val="Calibri"/>
      <family val="2"/>
    </font>
    <font>
      <i/>
      <sz val="12"/>
      <name val="Calibri"/>
      <family val="2"/>
    </font>
    <font>
      <vertAlign val="superscript"/>
      <sz val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25">
    <xf numFmtId="0" fontId="0" fillId="0" borderId="0" xfId="0"/>
    <xf numFmtId="0" fontId="4" fillId="0" borderId="0" xfId="0" applyFont="1"/>
    <xf numFmtId="0" fontId="4" fillId="0" borderId="0" xfId="0" applyFont="1" applyFill="1"/>
    <xf numFmtId="43" fontId="4" fillId="0" borderId="0" xfId="0" applyNumberFormat="1" applyFont="1" applyFill="1"/>
    <xf numFmtId="10" fontId="4" fillId="0" borderId="0" xfId="2" applyNumberFormat="1" applyFont="1" applyFill="1"/>
    <xf numFmtId="0" fontId="4" fillId="0" borderId="10" xfId="0" applyFont="1" applyFill="1" applyBorder="1" applyAlignment="1">
      <alignment horizontal="center" vertical="distributed"/>
    </xf>
    <xf numFmtId="165" fontId="11" fillId="0" borderId="10" xfId="0" applyNumberFormat="1" applyFont="1" applyFill="1" applyBorder="1" applyAlignment="1">
      <alignment horizontal="center" vertical="distributed"/>
    </xf>
    <xf numFmtId="43" fontId="4" fillId="0" borderId="10" xfId="1" applyFont="1" applyFill="1" applyBorder="1" applyAlignment="1">
      <alignment horizontal="center" vertical="distributed"/>
    </xf>
    <xf numFmtId="0" fontId="12" fillId="2" borderId="10" xfId="0" applyFont="1" applyFill="1" applyBorder="1" applyAlignment="1">
      <alignment horizontal="center" vertical="distributed"/>
    </xf>
    <xf numFmtId="43" fontId="9" fillId="0" borderId="0" xfId="1" applyFont="1" applyFill="1" applyBorder="1" applyAlignment="1">
      <alignment horizontal="center" vertical="distributed"/>
    </xf>
    <xf numFmtId="0" fontId="4" fillId="0" borderId="0" xfId="0" applyFont="1" applyFill="1" applyBorder="1"/>
    <xf numFmtId="0" fontId="0" fillId="0" borderId="0" xfId="0" applyFont="1" applyAlignment="1">
      <alignment wrapText="1"/>
    </xf>
    <xf numFmtId="49" fontId="4" fillId="0" borderId="10" xfId="0" applyNumberFormat="1" applyFont="1" applyFill="1" applyBorder="1" applyAlignment="1">
      <alignment horizontal="center" vertical="distributed"/>
    </xf>
    <xf numFmtId="49" fontId="12" fillId="0" borderId="10" xfId="0" applyNumberFormat="1" applyFont="1" applyFill="1" applyBorder="1" applyAlignment="1">
      <alignment horizontal="center" vertical="distributed"/>
    </xf>
    <xf numFmtId="49" fontId="12" fillId="2" borderId="10" xfId="0" applyNumberFormat="1" applyFont="1" applyFill="1" applyBorder="1" applyAlignment="1">
      <alignment horizontal="center" vertical="distributed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distributed"/>
    </xf>
    <xf numFmtId="43" fontId="3" fillId="0" borderId="10" xfId="1" applyFont="1" applyFill="1" applyBorder="1" applyAlignment="1">
      <alignment horizontal="center" vertical="distributed"/>
    </xf>
    <xf numFmtId="43" fontId="15" fillId="0" borderId="10" xfId="1" applyFont="1" applyFill="1" applyBorder="1" applyAlignment="1">
      <alignment horizontal="center" vertical="distributed"/>
    </xf>
    <xf numFmtId="0" fontId="9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7" xfId="0" applyNumberFormat="1" applyFont="1" applyBorder="1"/>
    <xf numFmtId="10" fontId="4" fillId="0" borderId="9" xfId="2" applyNumberFormat="1" applyFont="1" applyBorder="1" applyAlignment="1">
      <alignment horizontal="center"/>
    </xf>
    <xf numFmtId="2" fontId="4" fillId="0" borderId="0" xfId="0" applyNumberFormat="1" applyFont="1" applyFill="1" applyBorder="1"/>
    <xf numFmtId="0" fontId="4" fillId="3" borderId="25" xfId="0" applyFont="1" applyFill="1" applyBorder="1" applyAlignment="1">
      <alignment horizontal="center"/>
    </xf>
    <xf numFmtId="2" fontId="4" fillId="3" borderId="25" xfId="0" applyNumberFormat="1" applyFont="1" applyFill="1" applyBorder="1" applyAlignment="1">
      <alignment horizontal="center"/>
    </xf>
    <xf numFmtId="10" fontId="4" fillId="3" borderId="25" xfId="2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0" fontId="4" fillId="3" borderId="0" xfId="2" applyNumberFormat="1" applyFont="1" applyFill="1" applyBorder="1" applyAlignment="1">
      <alignment horizontal="center"/>
    </xf>
    <xf numFmtId="1" fontId="4" fillId="3" borderId="28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distributed"/>
    </xf>
    <xf numFmtId="0" fontId="19" fillId="0" borderId="0" xfId="0" applyFont="1" applyAlignment="1">
      <alignment vertical="center"/>
    </xf>
    <xf numFmtId="0" fontId="7" fillId="0" borderId="0" xfId="0" applyFont="1"/>
    <xf numFmtId="0" fontId="16" fillId="0" borderId="0" xfId="0" applyFont="1" applyFill="1"/>
    <xf numFmtId="0" fontId="16" fillId="0" borderId="0" xfId="0" applyFont="1" applyFill="1" applyBorder="1"/>
    <xf numFmtId="0" fontId="0" fillId="9" borderId="10" xfId="0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2" fontId="16" fillId="0" borderId="0" xfId="0" applyNumberFormat="1" applyFont="1" applyFill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10" fontId="16" fillId="9" borderId="0" xfId="2" applyNumberFormat="1" applyFont="1" applyFill="1"/>
    <xf numFmtId="43" fontId="17" fillId="9" borderId="0" xfId="1" applyFont="1" applyFill="1" applyBorder="1" applyAlignment="1">
      <alignment horizontal="center" vertical="distributed"/>
    </xf>
    <xf numFmtId="10" fontId="23" fillId="9" borderId="6" xfId="0" applyNumberFormat="1" applyFont="1" applyFill="1" applyBorder="1" applyAlignment="1">
      <alignment horizontal="center" vertical="distributed"/>
    </xf>
    <xf numFmtId="172" fontId="16" fillId="8" borderId="0" xfId="0" applyNumberFormat="1" applyFont="1" applyFill="1" applyAlignment="1">
      <alignment horizontal="center" vertical="center"/>
    </xf>
    <xf numFmtId="0" fontId="16" fillId="9" borderId="0" xfId="0" applyFont="1" applyFill="1"/>
    <xf numFmtId="0" fontId="22" fillId="9" borderId="18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distributed" wrapText="1"/>
    </xf>
    <xf numFmtId="0" fontId="22" fillId="9" borderId="2" xfId="0" applyFont="1" applyFill="1" applyBorder="1" applyAlignment="1">
      <alignment horizontal="center" vertical="distributed"/>
    </xf>
    <xf numFmtId="0" fontId="22" fillId="9" borderId="4" xfId="0" applyFont="1" applyFill="1" applyBorder="1" applyAlignment="1">
      <alignment horizontal="center" vertical="distributed" wrapText="1"/>
    </xf>
    <xf numFmtId="10" fontId="28" fillId="9" borderId="35" xfId="0" applyNumberFormat="1" applyFont="1" applyFill="1" applyBorder="1" applyAlignment="1">
      <alignment horizontal="center" vertical="center"/>
    </xf>
    <xf numFmtId="10" fontId="28" fillId="9" borderId="36" xfId="0" applyNumberFormat="1" applyFont="1" applyFill="1" applyBorder="1" applyAlignment="1">
      <alignment horizontal="center" vertical="center"/>
    </xf>
    <xf numFmtId="0" fontId="29" fillId="9" borderId="36" xfId="0" applyFont="1" applyFill="1" applyBorder="1" applyAlignment="1">
      <alignment horizontal="center" vertical="distributed"/>
    </xf>
    <xf numFmtId="0" fontId="27" fillId="9" borderId="37" xfId="0" applyFont="1" applyFill="1" applyBorder="1" applyAlignment="1">
      <alignment horizontal="center" vertical="center"/>
    </xf>
    <xf numFmtId="10" fontId="28" fillId="9" borderId="40" xfId="0" applyNumberFormat="1" applyFont="1" applyFill="1" applyBorder="1" applyAlignment="1">
      <alignment horizontal="center" vertical="center"/>
    </xf>
    <xf numFmtId="10" fontId="28" fillId="9" borderId="41" xfId="0" applyNumberFormat="1" applyFont="1" applyFill="1" applyBorder="1" applyAlignment="1">
      <alignment horizontal="center" vertical="center"/>
    </xf>
    <xf numFmtId="43" fontId="29" fillId="9" borderId="41" xfId="1" applyFont="1" applyFill="1" applyBorder="1" applyAlignment="1">
      <alignment horizontal="center" vertical="distributed"/>
    </xf>
    <xf numFmtId="43" fontId="27" fillId="9" borderId="42" xfId="1" applyFont="1" applyFill="1" applyBorder="1" applyAlignment="1">
      <alignment horizontal="center" vertical="center"/>
    </xf>
    <xf numFmtId="10" fontId="28" fillId="9" borderId="0" xfId="0" applyNumberFormat="1" applyFont="1" applyFill="1" applyBorder="1" applyAlignment="1">
      <alignment horizontal="center" vertical="center"/>
    </xf>
    <xf numFmtId="43" fontId="24" fillId="9" borderId="0" xfId="1" applyFont="1" applyFill="1" applyBorder="1" applyAlignment="1">
      <alignment horizontal="center" vertical="distributed"/>
    </xf>
    <xf numFmtId="43" fontId="29" fillId="9" borderId="0" xfId="1" applyFont="1" applyFill="1" applyBorder="1" applyAlignment="1">
      <alignment horizontal="center" vertical="distributed"/>
    </xf>
    <xf numFmtId="43" fontId="27" fillId="9" borderId="0" xfId="1" applyFont="1" applyFill="1" applyBorder="1" applyAlignment="1">
      <alignment horizontal="center" vertical="center"/>
    </xf>
    <xf numFmtId="43" fontId="29" fillId="9" borderId="0" xfId="1" applyFont="1" applyFill="1"/>
    <xf numFmtId="43" fontId="16" fillId="9" borderId="0" xfId="1" applyFont="1" applyFill="1"/>
    <xf numFmtId="0" fontId="24" fillId="9" borderId="0" xfId="0" applyFont="1" applyFill="1"/>
    <xf numFmtId="0" fontId="4" fillId="9" borderId="12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2" fontId="4" fillId="9" borderId="10" xfId="0" applyNumberFormat="1" applyFont="1" applyFill="1" applyBorder="1" applyAlignment="1">
      <alignment horizontal="center" vertical="center" wrapText="1"/>
    </xf>
    <xf numFmtId="1" fontId="16" fillId="7" borderId="10" xfId="0" applyNumberFormat="1" applyFont="1" applyFill="1" applyBorder="1" applyAlignment="1">
      <alignment horizontal="center"/>
    </xf>
    <xf numFmtId="2" fontId="4" fillId="9" borderId="10" xfId="0" applyNumberFormat="1" applyFont="1" applyFill="1" applyBorder="1" applyAlignment="1">
      <alignment horizontal="center"/>
    </xf>
    <xf numFmtId="1" fontId="4" fillId="7" borderId="10" xfId="1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2" fontId="9" fillId="9" borderId="1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 vertical="distributed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4" fillId="0" borderId="5" xfId="0" applyFont="1" applyBorder="1" applyAlignment="1">
      <alignment horizontal="left"/>
    </xf>
    <xf numFmtId="167" fontId="4" fillId="0" borderId="6" xfId="1" applyNumberFormat="1" applyFont="1" applyBorder="1" applyAlignment="1">
      <alignment horizontal="center"/>
    </xf>
    <xf numFmtId="168" fontId="4" fillId="0" borderId="6" xfId="1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right" vertical="center"/>
    </xf>
    <xf numFmtId="10" fontId="9" fillId="4" borderId="6" xfId="0" applyNumberFormat="1" applyFont="1" applyFill="1" applyBorder="1" applyAlignment="1">
      <alignment horizontal="center" vertical="center"/>
    </xf>
    <xf numFmtId="10" fontId="9" fillId="5" borderId="6" xfId="0" applyNumberFormat="1" applyFont="1" applyFill="1" applyBorder="1" applyAlignment="1">
      <alignment horizontal="center" vertical="center"/>
    </xf>
    <xf numFmtId="10" fontId="9" fillId="6" borderId="6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right" vertical="center"/>
    </xf>
    <xf numFmtId="1" fontId="9" fillId="4" borderId="5" xfId="0" applyNumberFormat="1" applyFon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1" fontId="9" fillId="6" borderId="6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167" fontId="4" fillId="3" borderId="0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left"/>
    </xf>
    <xf numFmtId="43" fontId="9" fillId="0" borderId="0" xfId="1" applyFont="1" applyAlignment="1">
      <alignment horizontal="right"/>
    </xf>
    <xf numFmtId="170" fontId="9" fillId="0" borderId="0" xfId="2" applyNumberFormat="1" applyFont="1"/>
    <xf numFmtId="10" fontId="20" fillId="0" borderId="0" xfId="2" applyNumberFormat="1" applyFont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0" fillId="9" borderId="10" xfId="0" applyFont="1" applyFill="1" applyBorder="1" applyAlignment="1">
      <alignment horizontal="center" vertical="distributed" wrapText="1"/>
    </xf>
    <xf numFmtId="43" fontId="24" fillId="9" borderId="36" xfId="1" applyFont="1" applyFill="1" applyBorder="1" applyAlignment="1">
      <alignment horizontal="center" vertical="distributed"/>
    </xf>
    <xf numFmtId="167" fontId="24" fillId="9" borderId="41" xfId="1" applyNumberFormat="1" applyFont="1" applyFill="1" applyBorder="1" applyAlignment="1">
      <alignment horizontal="center" vertical="distributed"/>
    </xf>
    <xf numFmtId="0" fontId="33" fillId="7" borderId="36" xfId="0" applyFont="1" applyFill="1" applyBorder="1" applyAlignment="1">
      <alignment horizontal="center" vertical="distributed"/>
    </xf>
    <xf numFmtId="43" fontId="33" fillId="7" borderId="41" xfId="1" applyFont="1" applyFill="1" applyBorder="1" applyAlignment="1">
      <alignment horizontal="center" vertical="distributed"/>
    </xf>
    <xf numFmtId="0" fontId="4" fillId="10" borderId="15" xfId="0" applyFont="1" applyFill="1" applyBorder="1" applyAlignment="1">
      <alignment horizontal="right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43" fontId="34" fillId="0" borderId="0" xfId="1" applyFont="1" applyBorder="1" applyAlignment="1">
      <alignment horizontal="center"/>
    </xf>
    <xf numFmtId="168" fontId="4" fillId="0" borderId="0" xfId="1" applyNumberFormat="1" applyFont="1" applyBorder="1"/>
    <xf numFmtId="168" fontId="4" fillId="0" borderId="0" xfId="1" applyNumberFormat="1" applyFont="1" applyFill="1" applyBorder="1"/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7" fillId="1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0" fontId="4" fillId="9" borderId="10" xfId="0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center"/>
    </xf>
    <xf numFmtId="43" fontId="4" fillId="9" borderId="10" xfId="1" applyFont="1" applyFill="1" applyBorder="1"/>
    <xf numFmtId="167" fontId="4" fillId="0" borderId="10" xfId="1" applyNumberFormat="1" applyFont="1" applyBorder="1" applyAlignment="1">
      <alignment vertical="center"/>
    </xf>
    <xf numFmtId="164" fontId="4" fillId="0" borderId="10" xfId="0" applyNumberFormat="1" applyFont="1" applyBorder="1"/>
    <xf numFmtId="2" fontId="4" fillId="0" borderId="10" xfId="1" applyNumberFormat="1" applyFont="1" applyBorder="1" applyAlignment="1">
      <alignment horizontal="center"/>
    </xf>
    <xf numFmtId="2" fontId="4" fillId="9" borderId="10" xfId="1" applyNumberFormat="1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/>
    </xf>
    <xf numFmtId="43" fontId="4" fillId="0" borderId="10" xfId="1" applyNumberFormat="1" applyFont="1" applyFill="1" applyBorder="1"/>
    <xf numFmtId="43" fontId="4" fillId="0" borderId="10" xfId="1" applyFont="1" applyFill="1" applyBorder="1"/>
    <xf numFmtId="43" fontId="4" fillId="0" borderId="0" xfId="1" applyFont="1" applyFill="1" applyBorder="1"/>
    <xf numFmtId="167" fontId="4" fillId="13" borderId="10" xfId="1" applyNumberFormat="1" applyFont="1" applyFill="1" applyBorder="1"/>
    <xf numFmtId="43" fontId="4" fillId="0" borderId="10" xfId="1" applyFont="1" applyBorder="1"/>
    <xf numFmtId="0" fontId="4" fillId="0" borderId="10" xfId="0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173" fontId="4" fillId="13" borderId="10" xfId="0" applyNumberFormat="1" applyFont="1" applyFill="1" applyBorder="1" applyAlignment="1">
      <alignment horizontal="center"/>
    </xf>
    <xf numFmtId="164" fontId="4" fillId="0" borderId="10" xfId="1" applyNumberFormat="1" applyFont="1" applyBorder="1"/>
    <xf numFmtId="165" fontId="11" fillId="0" borderId="10" xfId="2" applyNumberFormat="1" applyFont="1" applyBorder="1" applyAlignment="1">
      <alignment horizontal="center" vertical="center"/>
    </xf>
    <xf numFmtId="2" fontId="4" fillId="0" borderId="10" xfId="0" applyNumberFormat="1" applyFont="1" applyBorder="1"/>
    <xf numFmtId="2" fontId="4" fillId="0" borderId="10" xfId="0" applyNumberFormat="1" applyFont="1" applyFill="1" applyBorder="1"/>
    <xf numFmtId="174" fontId="4" fillId="0" borderId="10" xfId="0" applyNumberFormat="1" applyFont="1" applyFill="1" applyBorder="1"/>
    <xf numFmtId="43" fontId="8" fillId="0" borderId="10" xfId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/>
    </xf>
    <xf numFmtId="0" fontId="4" fillId="13" borderId="10" xfId="0" applyFont="1" applyFill="1" applyBorder="1"/>
    <xf numFmtId="0" fontId="4" fillId="0" borderId="10" xfId="0" applyFont="1" applyFill="1" applyBorder="1"/>
    <xf numFmtId="43" fontId="9" fillId="9" borderId="10" xfId="1" applyFont="1" applyFill="1" applyBorder="1"/>
    <xf numFmtId="167" fontId="6" fillId="0" borderId="10" xfId="0" applyNumberFormat="1" applyFont="1" applyBorder="1"/>
    <xf numFmtId="164" fontId="9" fillId="0" borderId="10" xfId="0" applyNumberFormat="1" applyFont="1" applyFill="1" applyBorder="1"/>
    <xf numFmtId="165" fontId="9" fillId="0" borderId="10" xfId="0" applyNumberFormat="1" applyFont="1" applyFill="1" applyBorder="1"/>
    <xf numFmtId="2" fontId="9" fillId="0" borderId="10" xfId="1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4" borderId="10" xfId="1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 vertical="center"/>
    </xf>
    <xf numFmtId="43" fontId="9" fillId="5" borderId="10" xfId="1" applyNumberFormat="1" applyFont="1" applyFill="1" applyBorder="1"/>
    <xf numFmtId="43" fontId="9" fillId="12" borderId="10" xfId="1" applyFont="1" applyFill="1" applyBorder="1"/>
    <xf numFmtId="43" fontId="9" fillId="0" borderId="0" xfId="1" applyFont="1" applyFill="1" applyBorder="1"/>
    <xf numFmtId="0" fontId="9" fillId="0" borderId="10" xfId="0" applyFont="1" applyFill="1" applyBorder="1"/>
    <xf numFmtId="43" fontId="9" fillId="0" borderId="10" xfId="0" applyNumberFormat="1" applyFont="1" applyFill="1" applyBorder="1"/>
    <xf numFmtId="0" fontId="9" fillId="0" borderId="10" xfId="0" applyFont="1" applyFill="1" applyBorder="1" applyAlignment="1">
      <alignment horizontal="center"/>
    </xf>
    <xf numFmtId="2" fontId="9" fillId="0" borderId="10" xfId="0" applyNumberFormat="1" applyFont="1" applyFill="1" applyBorder="1"/>
    <xf numFmtId="43" fontId="9" fillId="0" borderId="10" xfId="1" applyFont="1" applyFill="1" applyBorder="1" applyAlignment="1">
      <alignment horizontal="center"/>
    </xf>
    <xf numFmtId="173" fontId="9" fillId="13" borderId="10" xfId="1" applyNumberFormat="1" applyFont="1" applyFill="1" applyBorder="1" applyAlignment="1">
      <alignment horizontal="center"/>
    </xf>
    <xf numFmtId="165" fontId="10" fillId="0" borderId="10" xfId="2" applyNumberFormat="1" applyFont="1" applyBorder="1" applyAlignment="1">
      <alignment horizontal="center" vertical="center"/>
    </xf>
    <xf numFmtId="168" fontId="9" fillId="4" borderId="10" xfId="1" applyNumberFormat="1" applyFont="1" applyFill="1" applyBorder="1"/>
    <xf numFmtId="174" fontId="9" fillId="0" borderId="10" xfId="0" applyNumberFormat="1" applyFont="1" applyFill="1" applyBorder="1"/>
    <xf numFmtId="43" fontId="9" fillId="0" borderId="10" xfId="1" applyFont="1" applyFill="1" applyBorder="1"/>
    <xf numFmtId="43" fontId="40" fillId="0" borderId="10" xfId="1" applyFont="1" applyFill="1" applyBorder="1" applyAlignment="1">
      <alignment horizontal="center"/>
    </xf>
    <xf numFmtId="175" fontId="9" fillId="5" borderId="10" xfId="0" applyNumberFormat="1" applyFont="1" applyFill="1" applyBorder="1" applyAlignment="1">
      <alignment horizontal="center" vertical="center" wrapText="1"/>
    </xf>
    <xf numFmtId="175" fontId="9" fillId="12" borderId="10" xfId="0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center" vertical="center" wrapText="1"/>
    </xf>
    <xf numFmtId="43" fontId="9" fillId="9" borderId="10" xfId="0" applyNumberFormat="1" applyFont="1" applyFill="1" applyBorder="1" applyAlignment="1">
      <alignment horizontal="center"/>
    </xf>
    <xf numFmtId="165" fontId="9" fillId="13" borderId="10" xfId="2" applyNumberFormat="1" applyFont="1" applyFill="1" applyBorder="1"/>
    <xf numFmtId="9" fontId="9" fillId="13" borderId="10" xfId="2" applyFont="1" applyFill="1" applyBorder="1" applyAlignment="1">
      <alignment horizontal="center"/>
    </xf>
    <xf numFmtId="0" fontId="9" fillId="0" borderId="0" xfId="0" applyFont="1" applyFill="1" applyBorder="1"/>
    <xf numFmtId="2" fontId="9" fillId="0" borderId="10" xfId="1" applyNumberFormat="1" applyFont="1" applyFill="1" applyBorder="1"/>
    <xf numFmtId="2" fontId="9" fillId="0" borderId="10" xfId="1" applyNumberFormat="1" applyFont="1" applyBorder="1" applyAlignment="1">
      <alignment horizontal="center"/>
    </xf>
    <xf numFmtId="2" fontId="9" fillId="0" borderId="10" xfId="1" applyNumberFormat="1" applyFont="1" applyBorder="1"/>
    <xf numFmtId="2" fontId="9" fillId="0" borderId="10" xfId="0" applyNumberFormat="1" applyFont="1" applyBorder="1"/>
    <xf numFmtId="2" fontId="9" fillId="0" borderId="10" xfId="2" applyNumberFormat="1" applyFont="1" applyFill="1" applyBorder="1" applyAlignment="1">
      <alignment horizontal="center"/>
    </xf>
    <xf numFmtId="176" fontId="4" fillId="0" borderId="0" xfId="0" applyNumberFormat="1" applyFont="1" applyFill="1" applyBorder="1"/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/>
    <xf numFmtId="164" fontId="41" fillId="0" borderId="0" xfId="0" applyNumberFormat="1" applyFont="1" applyFill="1" applyBorder="1"/>
    <xf numFmtId="43" fontId="41" fillId="0" borderId="0" xfId="1" applyFont="1" applyFill="1" applyBorder="1" applyAlignment="1">
      <alignment horizontal="center"/>
    </xf>
    <xf numFmtId="177" fontId="4" fillId="0" borderId="0" xfId="0" applyNumberFormat="1" applyFont="1" applyFill="1" applyBorder="1"/>
    <xf numFmtId="43" fontId="4" fillId="0" borderId="0" xfId="0" applyNumberFormat="1" applyFont="1" applyFill="1" applyBorder="1"/>
    <xf numFmtId="0" fontId="9" fillId="0" borderId="10" xfId="0" applyFont="1" applyFill="1" applyBorder="1" applyAlignment="1">
      <alignment horizontal="right"/>
    </xf>
    <xf numFmtId="9" fontId="9" fillId="4" borderId="10" xfId="0" applyNumberFormat="1" applyFont="1" applyFill="1" applyBorder="1" applyAlignment="1">
      <alignment horizontal="center"/>
    </xf>
    <xf numFmtId="9" fontId="9" fillId="5" borderId="10" xfId="0" applyNumberFormat="1" applyFont="1" applyFill="1" applyBorder="1" applyAlignment="1">
      <alignment horizontal="center"/>
    </xf>
    <xf numFmtId="9" fontId="9" fillId="12" borderId="10" xfId="2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/>
    <xf numFmtId="164" fontId="4" fillId="0" borderId="0" xfId="0" applyNumberFormat="1" applyFont="1" applyFill="1" applyBorder="1"/>
    <xf numFmtId="174" fontId="4" fillId="0" borderId="0" xfId="0" applyNumberFormat="1" applyFont="1" applyFill="1" applyBorder="1"/>
    <xf numFmtId="0" fontId="7" fillId="14" borderId="5" xfId="0" applyFont="1" applyFill="1" applyBorder="1" applyAlignment="1">
      <alignment vertical="center"/>
    </xf>
    <xf numFmtId="0" fontId="21" fillId="14" borderId="7" xfId="0" applyFont="1" applyFill="1" applyBorder="1" applyAlignment="1">
      <alignment horizontal="right" vertical="center"/>
    </xf>
    <xf numFmtId="2" fontId="4" fillId="14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7" xfId="0" applyFont="1" applyBorder="1" applyAlignment="1">
      <alignment horizontal="right"/>
    </xf>
    <xf numFmtId="2" fontId="4" fillId="5" borderId="10" xfId="0" applyNumberFormat="1" applyFont="1" applyFill="1" applyBorder="1" applyAlignment="1">
      <alignment horizontal="center" vertical="center" wrapText="1"/>
    </xf>
    <xf numFmtId="2" fontId="4" fillId="12" borderId="1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/>
    <xf numFmtId="43" fontId="4" fillId="0" borderId="0" xfId="0" applyNumberFormat="1" applyFont="1"/>
    <xf numFmtId="169" fontId="4" fillId="0" borderId="0" xfId="1" applyNumberFormat="1" applyFont="1"/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169" fontId="4" fillId="0" borderId="0" xfId="1" applyNumberFormat="1" applyFont="1" applyFill="1"/>
    <xf numFmtId="43" fontId="4" fillId="0" borderId="10" xfId="0" applyNumberFormat="1" applyFont="1" applyBorder="1"/>
    <xf numFmtId="174" fontId="4" fillId="0" borderId="0" xfId="0" applyNumberFormat="1" applyFont="1"/>
    <xf numFmtId="168" fontId="9" fillId="9" borderId="10" xfId="1" applyNumberFormat="1" applyFont="1" applyFill="1" applyBorder="1" applyAlignment="1">
      <alignment horizontal="right"/>
    </xf>
    <xf numFmtId="43" fontId="9" fillId="4" borderId="10" xfId="1" applyFont="1" applyFill="1" applyBorder="1"/>
    <xf numFmtId="2" fontId="9" fillId="5" borderId="10" xfId="0" applyNumberFormat="1" applyFont="1" applyFill="1" applyBorder="1" applyAlignment="1">
      <alignment horizontal="center" vertical="center" wrapText="1"/>
    </xf>
    <xf numFmtId="2" fontId="9" fillId="12" borderId="1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4" fillId="11" borderId="0" xfId="0" applyFont="1" applyFill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43" fontId="4" fillId="0" borderId="0" xfId="1" applyFont="1" applyAlignment="1">
      <alignment horizontal="center"/>
    </xf>
    <xf numFmtId="43" fontId="24" fillId="9" borderId="9" xfId="1" applyFont="1" applyFill="1" applyBorder="1" applyAlignment="1">
      <alignment horizontal="center" vertical="center"/>
    </xf>
    <xf numFmtId="0" fontId="42" fillId="9" borderId="10" xfId="0" applyFont="1" applyFill="1" applyBorder="1" applyAlignment="1">
      <alignment horizontal="center" vertical="distributed" wrapText="1"/>
    </xf>
    <xf numFmtId="43" fontId="44" fillId="9" borderId="36" xfId="1" applyFont="1" applyFill="1" applyBorder="1" applyAlignment="1">
      <alignment horizontal="center" vertical="distributed"/>
    </xf>
    <xf numFmtId="167" fontId="44" fillId="9" borderId="41" xfId="1" applyNumberFormat="1" applyFont="1" applyFill="1" applyBorder="1" applyAlignment="1">
      <alignment horizontal="center" vertical="distributed"/>
    </xf>
    <xf numFmtId="43" fontId="44" fillId="9" borderId="9" xfId="1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distributed"/>
    </xf>
    <xf numFmtId="0" fontId="29" fillId="0" borderId="36" xfId="0" applyFont="1" applyFill="1" applyBorder="1" applyAlignment="1">
      <alignment horizontal="center" vertical="distributed"/>
    </xf>
    <xf numFmtId="43" fontId="29" fillId="0" borderId="41" xfId="1" applyFont="1" applyFill="1" applyBorder="1" applyAlignment="1">
      <alignment horizontal="center" vertical="distributed"/>
    </xf>
    <xf numFmtId="0" fontId="13" fillId="2" borderId="10" xfId="0" applyFont="1" applyFill="1" applyBorder="1" applyAlignment="1">
      <alignment horizontal="center" vertical="distributed"/>
    </xf>
    <xf numFmtId="0" fontId="47" fillId="9" borderId="10" xfId="0" applyFont="1" applyFill="1" applyBorder="1" applyAlignment="1">
      <alignment horizontal="center" vertical="distributed" wrapText="1"/>
    </xf>
    <xf numFmtId="0" fontId="49" fillId="7" borderId="36" xfId="0" applyFont="1" applyFill="1" applyBorder="1" applyAlignment="1">
      <alignment horizontal="center" vertical="distributed"/>
    </xf>
    <xf numFmtId="43" fontId="49" fillId="7" borderId="41" xfId="1" applyFont="1" applyFill="1" applyBorder="1" applyAlignment="1">
      <alignment horizontal="center" vertical="distributed"/>
    </xf>
    <xf numFmtId="43" fontId="46" fillId="0" borderId="41" xfId="1" applyFont="1" applyFill="1" applyBorder="1" applyAlignment="1">
      <alignment horizontal="center" vertical="distributed"/>
    </xf>
    <xf numFmtId="0" fontId="28" fillId="0" borderId="36" xfId="0" applyFont="1" applyFill="1" applyBorder="1" applyAlignment="1">
      <alignment horizontal="center" vertical="distributed"/>
    </xf>
    <xf numFmtId="43" fontId="28" fillId="0" borderId="41" xfId="1" applyFont="1" applyFill="1" applyBorder="1" applyAlignment="1">
      <alignment horizontal="center" vertical="distributed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center"/>
    </xf>
    <xf numFmtId="43" fontId="4" fillId="7" borderId="0" xfId="0" applyNumberFormat="1" applyFont="1" applyFill="1" applyAlignment="1">
      <alignment horizontal="left" vertical="center"/>
    </xf>
    <xf numFmtId="43" fontId="4" fillId="7" borderId="0" xfId="0" applyNumberFormat="1" applyFont="1" applyFill="1" applyAlignment="1">
      <alignment horizontal="center"/>
    </xf>
    <xf numFmtId="0" fontId="4" fillId="7" borderId="0" xfId="0" applyFon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10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20" fillId="0" borderId="11" xfId="3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3" applyFont="1" applyFill="1" applyBorder="1" applyAlignment="1" applyProtection="1">
      <alignment horizontal="center" vertical="center" wrapText="1"/>
    </xf>
    <xf numFmtId="3" fontId="4" fillId="9" borderId="10" xfId="0" applyNumberFormat="1" applyFont="1" applyFill="1" applyBorder="1" applyAlignment="1">
      <alignment horizontal="center"/>
    </xf>
    <xf numFmtId="171" fontId="19" fillId="15" borderId="10" xfId="3" applyNumberFormat="1" applyFont="1" applyFill="1" applyBorder="1" applyAlignment="1" applyProtection="1">
      <alignment horizontal="center" vertical="center"/>
    </xf>
    <xf numFmtId="3" fontId="4" fillId="0" borderId="10" xfId="1" applyNumberFormat="1" applyFont="1" applyFill="1" applyBorder="1" applyAlignment="1">
      <alignment horizontal="center" vertical="center"/>
    </xf>
    <xf numFmtId="10" fontId="4" fillId="0" borderId="10" xfId="2" applyNumberFormat="1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1" fontId="20" fillId="3" borderId="10" xfId="3" applyNumberFormat="1" applyFont="1" applyFill="1" applyBorder="1" applyAlignment="1" applyProtection="1">
      <alignment horizontal="center" vertical="center"/>
    </xf>
    <xf numFmtId="3" fontId="9" fillId="0" borderId="10" xfId="1" applyNumberFormat="1" applyFont="1" applyFill="1" applyBorder="1" applyAlignment="1">
      <alignment horizontal="center" vertical="center"/>
    </xf>
    <xf numFmtId="10" fontId="9" fillId="0" borderId="10" xfId="2" applyNumberFormat="1" applyFont="1" applyFill="1" applyBorder="1" applyAlignment="1">
      <alignment horizontal="center" vertical="center"/>
    </xf>
    <xf numFmtId="172" fontId="9" fillId="8" borderId="10" xfId="0" applyNumberFormat="1" applyFont="1" applyFill="1" applyBorder="1" applyAlignment="1">
      <alignment horizontal="center" vertical="center"/>
    </xf>
    <xf numFmtId="179" fontId="9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10" fontId="4" fillId="7" borderId="9" xfId="2" applyNumberFormat="1" applyFont="1" applyFill="1" applyBorder="1" applyAlignment="1">
      <alignment horizontal="center" vertical="distributed"/>
    </xf>
    <xf numFmtId="10" fontId="9" fillId="0" borderId="0" xfId="2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right" vertical="center"/>
    </xf>
    <xf numFmtId="166" fontId="4" fillId="0" borderId="0" xfId="2" applyNumberFormat="1" applyFont="1" applyAlignment="1">
      <alignment horizontal="left" vertical="center"/>
    </xf>
    <xf numFmtId="2" fontId="4" fillId="7" borderId="5" xfId="0" applyNumberFormat="1" applyFont="1" applyFill="1" applyBorder="1" applyAlignment="1">
      <alignment horizontal="center" vertical="center"/>
    </xf>
    <xf numFmtId="2" fontId="4" fillId="7" borderId="6" xfId="0" applyNumberFormat="1" applyFont="1" applyFill="1" applyBorder="1" applyAlignment="1">
      <alignment horizontal="center" vertical="center"/>
    </xf>
    <xf numFmtId="2" fontId="4" fillId="7" borderId="9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distributed"/>
    </xf>
    <xf numFmtId="0" fontId="9" fillId="0" borderId="14" xfId="0" applyFont="1" applyFill="1" applyBorder="1" applyAlignment="1">
      <alignment horizontal="center" vertical="distributed"/>
    </xf>
    <xf numFmtId="0" fontId="9" fillId="0" borderId="19" xfId="0" applyFont="1" applyFill="1" applyBorder="1" applyAlignment="1">
      <alignment horizontal="center" vertical="distributed"/>
    </xf>
    <xf numFmtId="0" fontId="4" fillId="0" borderId="20" xfId="0" applyFont="1" applyBorder="1" applyAlignment="1">
      <alignment horizontal="center" vertical="distributed"/>
    </xf>
    <xf numFmtId="0" fontId="4" fillId="0" borderId="21" xfId="0" applyFont="1" applyBorder="1" applyAlignment="1">
      <alignment horizontal="center" vertical="distributed"/>
    </xf>
    <xf numFmtId="0" fontId="4" fillId="0" borderId="30" xfId="0" applyFont="1" applyBorder="1" applyAlignment="1">
      <alignment horizontal="center" vertical="distributed"/>
    </xf>
    <xf numFmtId="43" fontId="3" fillId="0" borderId="7" xfId="0" applyNumberFormat="1" applyFont="1" applyFill="1" applyBorder="1" applyAlignment="1">
      <alignment horizontal="left" vertical="center"/>
    </xf>
    <xf numFmtId="0" fontId="3" fillId="9" borderId="7" xfId="0" applyFont="1" applyFill="1" applyBorder="1" applyAlignment="1">
      <alignment vertical="distributed"/>
    </xf>
    <xf numFmtId="0" fontId="3" fillId="9" borderId="9" xfId="0" applyFont="1" applyFill="1" applyBorder="1" applyAlignment="1">
      <alignment vertical="distributed"/>
    </xf>
    <xf numFmtId="0" fontId="5" fillId="7" borderId="20" xfId="0" applyFont="1" applyFill="1" applyBorder="1" applyAlignment="1">
      <alignment horizontal="center" vertical="distributed" wrapText="1"/>
    </xf>
    <xf numFmtId="0" fontId="5" fillId="7" borderId="21" xfId="0" applyFont="1" applyFill="1" applyBorder="1" applyAlignment="1">
      <alignment horizontal="center" vertical="distributed"/>
    </xf>
    <xf numFmtId="0" fontId="5" fillId="7" borderId="21" xfId="0" applyFont="1" applyFill="1" applyBorder="1" applyAlignment="1">
      <alignment horizontal="center" vertical="distributed" wrapText="1"/>
    </xf>
    <xf numFmtId="0" fontId="5" fillId="7" borderId="3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left" vertical="center" wrapText="1"/>
    </xf>
    <xf numFmtId="0" fontId="7" fillId="9" borderId="31" xfId="0" applyFont="1" applyFill="1" applyBorder="1" applyAlignment="1">
      <alignment horizontal="center" vertical="distributed" wrapText="1"/>
    </xf>
    <xf numFmtId="0" fontId="7" fillId="9" borderId="0" xfId="0" applyFont="1" applyFill="1" applyBorder="1" applyAlignment="1">
      <alignment horizontal="center"/>
    </xf>
    <xf numFmtId="172" fontId="7" fillId="9" borderId="10" xfId="0" applyNumberFormat="1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distributed" wrapText="1"/>
    </xf>
    <xf numFmtId="10" fontId="7" fillId="9" borderId="10" xfId="2" applyNumberFormat="1" applyFont="1" applyFill="1" applyBorder="1" applyAlignment="1">
      <alignment horizontal="center" vertical="distributed" wrapText="1"/>
    </xf>
    <xf numFmtId="165" fontId="7" fillId="9" borderId="10" xfId="2" applyNumberFormat="1" applyFont="1" applyFill="1" applyBorder="1" applyAlignment="1">
      <alignment horizontal="center" vertical="distributed" wrapText="1"/>
    </xf>
    <xf numFmtId="0" fontId="7" fillId="9" borderId="10" xfId="0" applyFont="1" applyFill="1" applyBorder="1" applyAlignment="1">
      <alignment horizontal="center" vertical="center"/>
    </xf>
    <xf numFmtId="0" fontId="52" fillId="9" borderId="10" xfId="0" applyFont="1" applyFill="1" applyBorder="1" applyAlignment="1">
      <alignment horizontal="right" vertical="distributed"/>
    </xf>
    <xf numFmtId="0" fontId="52" fillId="9" borderId="10" xfId="0" applyFont="1" applyFill="1" applyBorder="1" applyAlignment="1">
      <alignment horizontal="center" vertical="distributed"/>
    </xf>
    <xf numFmtId="0" fontId="7" fillId="9" borderId="17" xfId="0" applyFont="1" applyFill="1" applyBorder="1" applyAlignment="1">
      <alignment horizontal="left" vertical="distributed" wrapText="1"/>
    </xf>
    <xf numFmtId="172" fontId="3" fillId="9" borderId="10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distributed" wrapText="1"/>
    </xf>
    <xf numFmtId="10" fontId="3" fillId="9" borderId="10" xfId="2" applyNumberFormat="1" applyFont="1" applyFill="1" applyBorder="1" applyAlignment="1">
      <alignment horizontal="center" vertical="distributed" wrapText="1"/>
    </xf>
    <xf numFmtId="0" fontId="9" fillId="9" borderId="0" xfId="0" applyFont="1" applyFill="1" applyBorder="1" applyAlignment="1">
      <alignment horizontal="center" vertical="distributed"/>
    </xf>
    <xf numFmtId="0" fontId="4" fillId="9" borderId="0" xfId="0" applyFont="1" applyFill="1" applyBorder="1" applyAlignment="1">
      <alignment horizontal="center" vertical="distributed" wrapText="1"/>
    </xf>
    <xf numFmtId="0" fontId="10" fillId="9" borderId="0" xfId="0" applyFont="1" applyFill="1" applyBorder="1" applyAlignment="1">
      <alignment horizontal="center" vertical="distributed" wrapText="1"/>
    </xf>
    <xf numFmtId="0" fontId="4" fillId="9" borderId="0" xfId="0" applyFont="1" applyFill="1" applyAlignment="1">
      <alignment horizontal="center" vertical="center"/>
    </xf>
    <xf numFmtId="0" fontId="9" fillId="9" borderId="0" xfId="0" applyFont="1" applyFill="1" applyBorder="1" applyAlignment="1">
      <alignment horizontal="center" vertical="distributed" wrapText="1"/>
    </xf>
    <xf numFmtId="10" fontId="9" fillId="9" borderId="0" xfId="2" applyNumberFormat="1" applyFont="1" applyFill="1" applyBorder="1" applyAlignment="1">
      <alignment horizontal="center" vertical="distributed" wrapText="1"/>
    </xf>
    <xf numFmtId="10" fontId="4" fillId="9" borderId="0" xfId="2" applyNumberFormat="1" applyFont="1" applyFill="1" applyBorder="1" applyAlignment="1">
      <alignment horizontal="center" vertical="distributed" wrapText="1"/>
    </xf>
    <xf numFmtId="165" fontId="11" fillId="9" borderId="0" xfId="0" applyNumberFormat="1" applyFont="1" applyFill="1" applyBorder="1" applyAlignment="1">
      <alignment horizontal="center" vertical="distributed"/>
    </xf>
    <xf numFmtId="0" fontId="4" fillId="9" borderId="0" xfId="0" applyFont="1" applyFill="1"/>
    <xf numFmtId="0" fontId="4" fillId="9" borderId="0" xfId="0" applyFont="1" applyFill="1" applyBorder="1" applyAlignment="1">
      <alignment horizontal="center" vertical="distributed"/>
    </xf>
    <xf numFmtId="0" fontId="4" fillId="9" borderId="33" xfId="0" applyFont="1" applyFill="1" applyBorder="1" applyAlignment="1">
      <alignment horizontal="right" vertical="center"/>
    </xf>
    <xf numFmtId="10" fontId="54" fillId="9" borderId="3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172" fontId="54" fillId="9" borderId="3" xfId="0" applyNumberFormat="1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vertical="center"/>
    </xf>
    <xf numFmtId="10" fontId="55" fillId="9" borderId="35" xfId="0" applyNumberFormat="1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right" vertical="center"/>
    </xf>
    <xf numFmtId="10" fontId="54" fillId="9" borderId="39" xfId="0" applyNumberFormat="1" applyFont="1" applyFill="1" applyBorder="1" applyAlignment="1">
      <alignment horizontal="center" vertical="center"/>
    </xf>
    <xf numFmtId="165" fontId="4" fillId="9" borderId="39" xfId="2" applyNumberFormat="1" applyFont="1" applyFill="1" applyBorder="1" applyAlignment="1">
      <alignment horizontal="left" vertical="center"/>
    </xf>
    <xf numFmtId="2" fontId="4" fillId="9" borderId="39" xfId="0" applyNumberFormat="1" applyFont="1" applyFill="1" applyBorder="1" applyAlignment="1">
      <alignment vertical="center"/>
    </xf>
    <xf numFmtId="0" fontId="4" fillId="9" borderId="39" xfId="0" applyFont="1" applyFill="1" applyBorder="1" applyAlignment="1">
      <alignment vertical="center"/>
    </xf>
    <xf numFmtId="172" fontId="54" fillId="9" borderId="39" xfId="0" applyNumberFormat="1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vertical="center"/>
    </xf>
    <xf numFmtId="0" fontId="54" fillId="9" borderId="0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right" vertical="center"/>
    </xf>
    <xf numFmtId="10" fontId="54" fillId="9" borderId="0" xfId="0" applyNumberFormat="1" applyFont="1" applyFill="1" applyBorder="1" applyAlignment="1">
      <alignment horizontal="center" vertical="center"/>
    </xf>
    <xf numFmtId="165" fontId="4" fillId="9" borderId="0" xfId="2" applyNumberFormat="1" applyFont="1" applyFill="1" applyBorder="1" applyAlignment="1">
      <alignment horizontal="left" vertical="center"/>
    </xf>
    <xf numFmtId="2" fontId="4" fillId="9" borderId="0" xfId="0" applyNumberFormat="1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172" fontId="54" fillId="9" borderId="0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/>
    </xf>
    <xf numFmtId="0" fontId="4" fillId="7" borderId="5" xfId="0" applyFont="1" applyFill="1" applyBorder="1" applyAlignment="1">
      <alignment vertical="center"/>
    </xf>
    <xf numFmtId="3" fontId="16" fillId="7" borderId="10" xfId="0" applyNumberFormat="1" applyFont="1" applyFill="1" applyBorder="1" applyAlignment="1">
      <alignment horizontal="center"/>
    </xf>
    <xf numFmtId="3" fontId="4" fillId="7" borderId="10" xfId="1" applyNumberFormat="1" applyFont="1" applyFill="1" applyBorder="1" applyAlignment="1">
      <alignment horizontal="center"/>
    </xf>
    <xf numFmtId="3" fontId="9" fillId="9" borderId="10" xfId="1" applyNumberFormat="1" applyFont="1" applyFill="1" applyBorder="1" applyAlignment="1">
      <alignment horizontal="center"/>
    </xf>
    <xf numFmtId="43" fontId="59" fillId="0" borderId="10" xfId="1" applyFont="1" applyFill="1" applyBorder="1" applyAlignment="1">
      <alignment horizontal="center" vertical="distributed"/>
    </xf>
    <xf numFmtId="10" fontId="28" fillId="7" borderId="7" xfId="2" applyNumberFormat="1" applyFont="1" applyFill="1" applyBorder="1" applyAlignment="1">
      <alignment horizontal="center" vertical="center"/>
    </xf>
    <xf numFmtId="10" fontId="24" fillId="7" borderId="7" xfId="2" applyNumberFormat="1" applyFont="1" applyFill="1" applyBorder="1" applyAlignment="1">
      <alignment horizontal="right" vertical="center"/>
    </xf>
    <xf numFmtId="172" fontId="16" fillId="7" borderId="0" xfId="0" applyNumberFormat="1" applyFont="1" applyFill="1" applyAlignment="1">
      <alignment horizontal="center"/>
    </xf>
    <xf numFmtId="10" fontId="61" fillId="9" borderId="0" xfId="2" applyNumberFormat="1" applyFont="1" applyFill="1"/>
    <xf numFmtId="43" fontId="57" fillId="9" borderId="36" xfId="1" applyFont="1" applyFill="1" applyBorder="1" applyAlignment="1">
      <alignment horizontal="center" vertical="distributed"/>
    </xf>
    <xf numFmtId="167" fontId="57" fillId="9" borderId="41" xfId="1" applyNumberFormat="1" applyFont="1" applyFill="1" applyBorder="1" applyAlignment="1">
      <alignment horizontal="center" vertical="distributed"/>
    </xf>
    <xf numFmtId="43" fontId="57" fillId="9" borderId="0" xfId="1" applyFont="1" applyFill="1" applyBorder="1" applyAlignment="1">
      <alignment horizontal="center" vertical="distributed"/>
    </xf>
    <xf numFmtId="43" fontId="57" fillId="9" borderId="9" xfId="1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right" vertical="distributed"/>
    </xf>
    <xf numFmtId="0" fontId="4" fillId="9" borderId="0" xfId="0" applyFont="1" applyFill="1" applyAlignment="1">
      <alignment horizontal="right"/>
    </xf>
    <xf numFmtId="0" fontId="4" fillId="9" borderId="0" xfId="0" applyFont="1" applyFill="1" applyAlignment="1">
      <alignment vertical="center"/>
    </xf>
    <xf numFmtId="0" fontId="16" fillId="9" borderId="10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right" vertical="center"/>
    </xf>
    <xf numFmtId="1" fontId="60" fillId="9" borderId="10" xfId="0" applyNumberFormat="1" applyFont="1" applyFill="1" applyBorder="1" applyAlignment="1">
      <alignment horizontal="center" vertical="center"/>
    </xf>
    <xf numFmtId="1" fontId="9" fillId="9" borderId="10" xfId="0" applyNumberFormat="1" applyFont="1" applyFill="1" applyBorder="1" applyAlignment="1">
      <alignment horizontal="center" vertical="center"/>
    </xf>
    <xf numFmtId="1" fontId="58" fillId="9" borderId="10" xfId="0" applyNumberFormat="1" applyFont="1" applyFill="1" applyBorder="1" applyAlignment="1">
      <alignment horizontal="center" vertical="center"/>
    </xf>
    <xf numFmtId="1" fontId="14" fillId="9" borderId="10" xfId="0" applyNumberFormat="1" applyFont="1" applyFill="1" applyBorder="1" applyAlignment="1">
      <alignment horizontal="center" vertical="center"/>
    </xf>
    <xf numFmtId="1" fontId="56" fillId="9" borderId="10" xfId="0" applyNumberFormat="1" applyFont="1" applyFill="1" applyBorder="1" applyAlignment="1">
      <alignment horizontal="center" vertical="center"/>
    </xf>
    <xf numFmtId="43" fontId="4" fillId="0" borderId="0" xfId="0" applyNumberFormat="1" applyFont="1" applyBorder="1"/>
    <xf numFmtId="3" fontId="4" fillId="9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1" fontId="51" fillId="9" borderId="1" xfId="1" applyNumberFormat="1" applyFont="1" applyFill="1" applyBorder="1" applyAlignment="1">
      <alignment horizontal="center" vertical="center" wrapText="1"/>
    </xf>
    <xf numFmtId="1" fontId="51" fillId="9" borderId="32" xfId="1" applyNumberFormat="1" applyFont="1" applyFill="1" applyBorder="1" applyAlignment="1">
      <alignment horizontal="center" vertical="center" wrapText="1"/>
    </xf>
    <xf numFmtId="1" fontId="51" fillId="9" borderId="11" xfId="1" applyNumberFormat="1" applyFont="1" applyFill="1" applyBorder="1" applyAlignment="1">
      <alignment horizontal="center" vertical="center" wrapText="1"/>
    </xf>
    <xf numFmtId="0" fontId="53" fillId="9" borderId="18" xfId="0" applyFont="1" applyFill="1" applyBorder="1" applyAlignment="1">
      <alignment horizontal="left" vertical="center"/>
    </xf>
    <xf numFmtId="0" fontId="53" fillId="9" borderId="3" xfId="0" applyFont="1" applyFill="1" applyBorder="1" applyAlignment="1">
      <alignment horizontal="left" vertical="center"/>
    </xf>
    <xf numFmtId="0" fontId="53" fillId="9" borderId="4" xfId="0" applyFont="1" applyFill="1" applyBorder="1" applyAlignment="1">
      <alignment horizontal="left" vertical="center"/>
    </xf>
    <xf numFmtId="0" fontId="54" fillId="9" borderId="18" xfId="0" applyFont="1" applyFill="1" applyBorder="1" applyAlignment="1">
      <alignment horizontal="left" vertical="center" wrapText="1"/>
    </xf>
    <xf numFmtId="0" fontId="54" fillId="9" borderId="23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distributed" wrapText="1"/>
    </xf>
    <xf numFmtId="0" fontId="5" fillId="9" borderId="8" xfId="0" applyFont="1" applyFill="1" applyBorder="1" applyAlignment="1">
      <alignment horizontal="center" vertical="distributed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2" fontId="4" fillId="9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distributed"/>
    </xf>
    <xf numFmtId="0" fontId="9" fillId="0" borderId="7" xfId="0" applyFont="1" applyBorder="1" applyAlignment="1">
      <alignment horizontal="center" vertical="distributed"/>
    </xf>
    <xf numFmtId="0" fontId="9" fillId="0" borderId="9" xfId="0" applyFont="1" applyBorder="1" applyAlignment="1">
      <alignment horizontal="center" vertical="distributed"/>
    </xf>
    <xf numFmtId="2" fontId="4" fillId="9" borderId="15" xfId="0" applyNumberFormat="1" applyFont="1" applyFill="1" applyBorder="1" applyAlignment="1">
      <alignment horizontal="center" vertical="center"/>
    </xf>
    <xf numFmtId="2" fontId="4" fillId="9" borderId="16" xfId="0" applyNumberFormat="1" applyFont="1" applyFill="1" applyBorder="1" applyAlignment="1">
      <alignment horizontal="center" vertical="center"/>
    </xf>
    <xf numFmtId="2" fontId="4" fillId="9" borderId="17" xfId="0" applyNumberFormat="1" applyFont="1" applyFill="1" applyBorder="1" applyAlignment="1">
      <alignment horizontal="center" vertical="center"/>
    </xf>
    <xf numFmtId="3" fontId="4" fillId="9" borderId="10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43" fontId="9" fillId="4" borderId="10" xfId="1" applyNumberFormat="1" applyFont="1" applyFill="1" applyBorder="1"/>
    <xf numFmtId="180" fontId="9" fillId="5" borderId="10" xfId="0" applyNumberFormat="1" applyFont="1" applyFill="1" applyBorder="1" applyAlignment="1">
      <alignment horizontal="center" vertical="center" wrapText="1"/>
    </xf>
    <xf numFmtId="180" fontId="9" fillId="12" borderId="10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FFFF99"/>
      <color rgb="FF009900"/>
      <color rgb="FFFF6600"/>
      <color rgb="FFFF9900"/>
      <color rgb="FF3399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28</xdr:row>
      <xdr:rowOff>257175</xdr:rowOff>
    </xdr:from>
    <xdr:to>
      <xdr:col>11</xdr:col>
      <xdr:colOff>142875</xdr:colOff>
      <xdr:row>39</xdr:row>
      <xdr:rowOff>123825</xdr:rowOff>
    </xdr:to>
    <xdr:cxnSp macro="">
      <xdr:nvCxnSpPr>
        <xdr:cNvPr id="2" name="Conector recto de flecha 2"/>
        <xdr:cNvCxnSpPr>
          <a:cxnSpLocks noChangeShapeType="1"/>
        </xdr:cNvCxnSpPr>
      </xdr:nvCxnSpPr>
      <xdr:spPr bwMode="auto">
        <a:xfrm>
          <a:off x="5753100" y="3657600"/>
          <a:ext cx="6838950" cy="3457575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28</xdr:row>
      <xdr:rowOff>257175</xdr:rowOff>
    </xdr:from>
    <xdr:to>
      <xdr:col>11</xdr:col>
      <xdr:colOff>142875</xdr:colOff>
      <xdr:row>39</xdr:row>
      <xdr:rowOff>123825</xdr:rowOff>
    </xdr:to>
    <xdr:cxnSp macro="">
      <xdr:nvCxnSpPr>
        <xdr:cNvPr id="2" name="Conector recto de flecha 2"/>
        <xdr:cNvCxnSpPr>
          <a:cxnSpLocks noChangeShapeType="1"/>
        </xdr:cNvCxnSpPr>
      </xdr:nvCxnSpPr>
      <xdr:spPr bwMode="auto">
        <a:xfrm>
          <a:off x="5753100" y="5762625"/>
          <a:ext cx="6581775" cy="5324475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28</xdr:row>
      <xdr:rowOff>257175</xdr:rowOff>
    </xdr:from>
    <xdr:to>
      <xdr:col>11</xdr:col>
      <xdr:colOff>142875</xdr:colOff>
      <xdr:row>39</xdr:row>
      <xdr:rowOff>123825</xdr:rowOff>
    </xdr:to>
    <xdr:cxnSp macro="">
      <xdr:nvCxnSpPr>
        <xdr:cNvPr id="2" name="Conector recto de flecha 2"/>
        <xdr:cNvCxnSpPr>
          <a:cxnSpLocks noChangeShapeType="1"/>
        </xdr:cNvCxnSpPr>
      </xdr:nvCxnSpPr>
      <xdr:spPr bwMode="auto">
        <a:xfrm>
          <a:off x="5753100" y="3657600"/>
          <a:ext cx="6838950" cy="3457575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28</xdr:row>
      <xdr:rowOff>257175</xdr:rowOff>
    </xdr:from>
    <xdr:to>
      <xdr:col>11</xdr:col>
      <xdr:colOff>142875</xdr:colOff>
      <xdr:row>39</xdr:row>
      <xdr:rowOff>123825</xdr:rowOff>
    </xdr:to>
    <xdr:cxnSp macro="">
      <xdr:nvCxnSpPr>
        <xdr:cNvPr id="2" name="Conector recto de flecha 2"/>
        <xdr:cNvCxnSpPr>
          <a:cxnSpLocks noChangeShapeType="1"/>
        </xdr:cNvCxnSpPr>
      </xdr:nvCxnSpPr>
      <xdr:spPr bwMode="auto">
        <a:xfrm>
          <a:off x="5753100" y="3657600"/>
          <a:ext cx="6838950" cy="3457575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28</xdr:row>
      <xdr:rowOff>257175</xdr:rowOff>
    </xdr:from>
    <xdr:to>
      <xdr:col>11</xdr:col>
      <xdr:colOff>142875</xdr:colOff>
      <xdr:row>39</xdr:row>
      <xdr:rowOff>123825</xdr:rowOff>
    </xdr:to>
    <xdr:cxnSp macro="">
      <xdr:nvCxnSpPr>
        <xdr:cNvPr id="2" name="Conector recto de flecha 2"/>
        <xdr:cNvCxnSpPr>
          <a:cxnSpLocks noChangeShapeType="1"/>
        </xdr:cNvCxnSpPr>
      </xdr:nvCxnSpPr>
      <xdr:spPr bwMode="auto">
        <a:xfrm>
          <a:off x="5753100" y="3657600"/>
          <a:ext cx="6838950" cy="3457575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28</xdr:row>
      <xdr:rowOff>257175</xdr:rowOff>
    </xdr:from>
    <xdr:to>
      <xdr:col>11</xdr:col>
      <xdr:colOff>142875</xdr:colOff>
      <xdr:row>39</xdr:row>
      <xdr:rowOff>123825</xdr:rowOff>
    </xdr:to>
    <xdr:cxnSp macro="">
      <xdr:nvCxnSpPr>
        <xdr:cNvPr id="2" name="Conector recto de flecha 2"/>
        <xdr:cNvCxnSpPr>
          <a:cxnSpLocks noChangeShapeType="1"/>
        </xdr:cNvCxnSpPr>
      </xdr:nvCxnSpPr>
      <xdr:spPr bwMode="auto">
        <a:xfrm>
          <a:off x="5753100" y="3600450"/>
          <a:ext cx="6838950" cy="3381375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tabSelected="1" zoomScaleNormal="100" workbookViewId="0"/>
  </sheetViews>
  <sheetFormatPr baseColWidth="10" defaultColWidth="16" defaultRowHeight="12.75"/>
  <cols>
    <col min="1" max="1" width="21.42578125" style="2" customWidth="1"/>
    <col min="2" max="2" width="23.5703125" style="262" customWidth="1"/>
    <col min="3" max="3" width="15" style="262" customWidth="1"/>
    <col min="4" max="4" width="15.140625" style="2" customWidth="1"/>
    <col min="5" max="5" width="16" style="2" customWidth="1"/>
    <col min="6" max="6" width="20" style="2" customWidth="1"/>
    <col min="7" max="7" width="17.140625" style="2" customWidth="1"/>
    <col min="8" max="8" width="15.28515625" style="2" customWidth="1"/>
    <col min="9" max="9" width="12.7109375" style="2" customWidth="1"/>
    <col min="10" max="10" width="15.140625" style="2" customWidth="1"/>
    <col min="11" max="11" width="15.28515625" style="2" customWidth="1"/>
    <col min="12" max="12" width="23.85546875" style="2" customWidth="1"/>
    <col min="13" max="13" width="25.5703125" style="2" customWidth="1"/>
    <col min="14" max="14" width="25.28515625" style="2" customWidth="1"/>
    <col min="15" max="15" width="16.7109375" style="2" customWidth="1"/>
    <col min="16" max="16" width="16" style="2"/>
    <col min="17" max="17" width="12.140625" style="2" customWidth="1"/>
    <col min="18" max="18" width="4.42578125" style="2" customWidth="1"/>
    <col min="19" max="19" width="34.85546875" style="2" customWidth="1"/>
    <col min="20" max="256" width="16" style="2"/>
    <col min="257" max="257" width="21.42578125" style="2" customWidth="1"/>
    <col min="258" max="258" width="23.5703125" style="2" customWidth="1"/>
    <col min="259" max="259" width="15" style="2" customWidth="1"/>
    <col min="260" max="260" width="15.140625" style="2" customWidth="1"/>
    <col min="261" max="261" width="16" style="2" customWidth="1"/>
    <col min="262" max="262" width="16.140625" style="2" customWidth="1"/>
    <col min="263" max="263" width="17.140625" style="2" customWidth="1"/>
    <col min="264" max="264" width="15.28515625" style="2" customWidth="1"/>
    <col min="265" max="265" width="12.7109375" style="2" customWidth="1"/>
    <col min="266" max="266" width="15.140625" style="2" customWidth="1"/>
    <col min="267" max="267" width="15.28515625" style="2" customWidth="1"/>
    <col min="268" max="268" width="23.85546875" style="2" customWidth="1"/>
    <col min="269" max="269" width="25.5703125" style="2" customWidth="1"/>
    <col min="270" max="270" width="20.5703125" style="2" customWidth="1"/>
    <col min="271" max="271" width="16.7109375" style="2" customWidth="1"/>
    <col min="272" max="272" width="16" style="2"/>
    <col min="273" max="273" width="12.140625" style="2" customWidth="1"/>
    <col min="274" max="274" width="4.42578125" style="2" customWidth="1"/>
    <col min="275" max="275" width="34.85546875" style="2" customWidth="1"/>
    <col min="276" max="512" width="16" style="2"/>
    <col min="513" max="513" width="21.42578125" style="2" customWidth="1"/>
    <col min="514" max="514" width="23.5703125" style="2" customWidth="1"/>
    <col min="515" max="515" width="15" style="2" customWidth="1"/>
    <col min="516" max="516" width="15.140625" style="2" customWidth="1"/>
    <col min="517" max="517" width="16" style="2" customWidth="1"/>
    <col min="518" max="518" width="16.140625" style="2" customWidth="1"/>
    <col min="519" max="519" width="17.140625" style="2" customWidth="1"/>
    <col min="520" max="520" width="15.28515625" style="2" customWidth="1"/>
    <col min="521" max="521" width="12.7109375" style="2" customWidth="1"/>
    <col min="522" max="522" width="15.140625" style="2" customWidth="1"/>
    <col min="523" max="523" width="15.28515625" style="2" customWidth="1"/>
    <col min="524" max="524" width="23.85546875" style="2" customWidth="1"/>
    <col min="525" max="525" width="25.5703125" style="2" customWidth="1"/>
    <col min="526" max="526" width="20.5703125" style="2" customWidth="1"/>
    <col min="527" max="527" width="16.7109375" style="2" customWidth="1"/>
    <col min="528" max="528" width="16" style="2"/>
    <col min="529" max="529" width="12.140625" style="2" customWidth="1"/>
    <col min="530" max="530" width="4.42578125" style="2" customWidth="1"/>
    <col min="531" max="531" width="34.85546875" style="2" customWidth="1"/>
    <col min="532" max="768" width="16" style="2"/>
    <col min="769" max="769" width="21.42578125" style="2" customWidth="1"/>
    <col min="770" max="770" width="23.5703125" style="2" customWidth="1"/>
    <col min="771" max="771" width="15" style="2" customWidth="1"/>
    <col min="772" max="772" width="15.140625" style="2" customWidth="1"/>
    <col min="773" max="773" width="16" style="2" customWidth="1"/>
    <col min="774" max="774" width="16.140625" style="2" customWidth="1"/>
    <col min="775" max="775" width="17.140625" style="2" customWidth="1"/>
    <col min="776" max="776" width="15.28515625" style="2" customWidth="1"/>
    <col min="777" max="777" width="12.7109375" style="2" customWidth="1"/>
    <col min="778" max="778" width="15.140625" style="2" customWidth="1"/>
    <col min="779" max="779" width="15.28515625" style="2" customWidth="1"/>
    <col min="780" max="780" width="23.85546875" style="2" customWidth="1"/>
    <col min="781" max="781" width="25.5703125" style="2" customWidth="1"/>
    <col min="782" max="782" width="20.5703125" style="2" customWidth="1"/>
    <col min="783" max="783" width="16.7109375" style="2" customWidth="1"/>
    <col min="784" max="784" width="16" style="2"/>
    <col min="785" max="785" width="12.140625" style="2" customWidth="1"/>
    <col min="786" max="786" width="4.42578125" style="2" customWidth="1"/>
    <col min="787" max="787" width="34.85546875" style="2" customWidth="1"/>
    <col min="788" max="1024" width="16" style="2"/>
    <col min="1025" max="1025" width="21.42578125" style="2" customWidth="1"/>
    <col min="1026" max="1026" width="23.5703125" style="2" customWidth="1"/>
    <col min="1027" max="1027" width="15" style="2" customWidth="1"/>
    <col min="1028" max="1028" width="15.140625" style="2" customWidth="1"/>
    <col min="1029" max="1029" width="16" style="2" customWidth="1"/>
    <col min="1030" max="1030" width="16.140625" style="2" customWidth="1"/>
    <col min="1031" max="1031" width="17.140625" style="2" customWidth="1"/>
    <col min="1032" max="1032" width="15.28515625" style="2" customWidth="1"/>
    <col min="1033" max="1033" width="12.7109375" style="2" customWidth="1"/>
    <col min="1034" max="1034" width="15.140625" style="2" customWidth="1"/>
    <col min="1035" max="1035" width="15.28515625" style="2" customWidth="1"/>
    <col min="1036" max="1036" width="23.85546875" style="2" customWidth="1"/>
    <col min="1037" max="1037" width="25.5703125" style="2" customWidth="1"/>
    <col min="1038" max="1038" width="20.5703125" style="2" customWidth="1"/>
    <col min="1039" max="1039" width="16.7109375" style="2" customWidth="1"/>
    <col min="1040" max="1040" width="16" style="2"/>
    <col min="1041" max="1041" width="12.140625" style="2" customWidth="1"/>
    <col min="1042" max="1042" width="4.42578125" style="2" customWidth="1"/>
    <col min="1043" max="1043" width="34.85546875" style="2" customWidth="1"/>
    <col min="1044" max="1280" width="16" style="2"/>
    <col min="1281" max="1281" width="21.42578125" style="2" customWidth="1"/>
    <col min="1282" max="1282" width="23.5703125" style="2" customWidth="1"/>
    <col min="1283" max="1283" width="15" style="2" customWidth="1"/>
    <col min="1284" max="1284" width="15.140625" style="2" customWidth="1"/>
    <col min="1285" max="1285" width="16" style="2" customWidth="1"/>
    <col min="1286" max="1286" width="16.140625" style="2" customWidth="1"/>
    <col min="1287" max="1287" width="17.140625" style="2" customWidth="1"/>
    <col min="1288" max="1288" width="15.28515625" style="2" customWidth="1"/>
    <col min="1289" max="1289" width="12.7109375" style="2" customWidth="1"/>
    <col min="1290" max="1290" width="15.140625" style="2" customWidth="1"/>
    <col min="1291" max="1291" width="15.28515625" style="2" customWidth="1"/>
    <col min="1292" max="1292" width="23.85546875" style="2" customWidth="1"/>
    <col min="1293" max="1293" width="25.5703125" style="2" customWidth="1"/>
    <col min="1294" max="1294" width="20.5703125" style="2" customWidth="1"/>
    <col min="1295" max="1295" width="16.7109375" style="2" customWidth="1"/>
    <col min="1296" max="1296" width="16" style="2"/>
    <col min="1297" max="1297" width="12.140625" style="2" customWidth="1"/>
    <col min="1298" max="1298" width="4.42578125" style="2" customWidth="1"/>
    <col min="1299" max="1299" width="34.85546875" style="2" customWidth="1"/>
    <col min="1300" max="1536" width="16" style="2"/>
    <col min="1537" max="1537" width="21.42578125" style="2" customWidth="1"/>
    <col min="1538" max="1538" width="23.5703125" style="2" customWidth="1"/>
    <col min="1539" max="1539" width="15" style="2" customWidth="1"/>
    <col min="1540" max="1540" width="15.140625" style="2" customWidth="1"/>
    <col min="1541" max="1541" width="16" style="2" customWidth="1"/>
    <col min="1542" max="1542" width="16.140625" style="2" customWidth="1"/>
    <col min="1543" max="1543" width="17.140625" style="2" customWidth="1"/>
    <col min="1544" max="1544" width="15.28515625" style="2" customWidth="1"/>
    <col min="1545" max="1545" width="12.7109375" style="2" customWidth="1"/>
    <col min="1546" max="1546" width="15.140625" style="2" customWidth="1"/>
    <col min="1547" max="1547" width="15.28515625" style="2" customWidth="1"/>
    <col min="1548" max="1548" width="23.85546875" style="2" customWidth="1"/>
    <col min="1549" max="1549" width="25.5703125" style="2" customWidth="1"/>
    <col min="1550" max="1550" width="20.5703125" style="2" customWidth="1"/>
    <col min="1551" max="1551" width="16.7109375" style="2" customWidth="1"/>
    <col min="1552" max="1552" width="16" style="2"/>
    <col min="1553" max="1553" width="12.140625" style="2" customWidth="1"/>
    <col min="1554" max="1554" width="4.42578125" style="2" customWidth="1"/>
    <col min="1555" max="1555" width="34.85546875" style="2" customWidth="1"/>
    <col min="1556" max="1792" width="16" style="2"/>
    <col min="1793" max="1793" width="21.42578125" style="2" customWidth="1"/>
    <col min="1794" max="1794" width="23.5703125" style="2" customWidth="1"/>
    <col min="1795" max="1795" width="15" style="2" customWidth="1"/>
    <col min="1796" max="1796" width="15.140625" style="2" customWidth="1"/>
    <col min="1797" max="1797" width="16" style="2" customWidth="1"/>
    <col min="1798" max="1798" width="16.140625" style="2" customWidth="1"/>
    <col min="1799" max="1799" width="17.140625" style="2" customWidth="1"/>
    <col min="1800" max="1800" width="15.28515625" style="2" customWidth="1"/>
    <col min="1801" max="1801" width="12.7109375" style="2" customWidth="1"/>
    <col min="1802" max="1802" width="15.140625" style="2" customWidth="1"/>
    <col min="1803" max="1803" width="15.28515625" style="2" customWidth="1"/>
    <col min="1804" max="1804" width="23.85546875" style="2" customWidth="1"/>
    <col min="1805" max="1805" width="25.5703125" style="2" customWidth="1"/>
    <col min="1806" max="1806" width="20.5703125" style="2" customWidth="1"/>
    <col min="1807" max="1807" width="16.7109375" style="2" customWidth="1"/>
    <col min="1808" max="1808" width="16" style="2"/>
    <col min="1809" max="1809" width="12.140625" style="2" customWidth="1"/>
    <col min="1810" max="1810" width="4.42578125" style="2" customWidth="1"/>
    <col min="1811" max="1811" width="34.85546875" style="2" customWidth="1"/>
    <col min="1812" max="2048" width="16" style="2"/>
    <col min="2049" max="2049" width="21.42578125" style="2" customWidth="1"/>
    <col min="2050" max="2050" width="23.5703125" style="2" customWidth="1"/>
    <col min="2051" max="2051" width="15" style="2" customWidth="1"/>
    <col min="2052" max="2052" width="15.140625" style="2" customWidth="1"/>
    <col min="2053" max="2053" width="16" style="2" customWidth="1"/>
    <col min="2054" max="2054" width="16.140625" style="2" customWidth="1"/>
    <col min="2055" max="2055" width="17.140625" style="2" customWidth="1"/>
    <col min="2056" max="2056" width="15.28515625" style="2" customWidth="1"/>
    <col min="2057" max="2057" width="12.7109375" style="2" customWidth="1"/>
    <col min="2058" max="2058" width="15.140625" style="2" customWidth="1"/>
    <col min="2059" max="2059" width="15.28515625" style="2" customWidth="1"/>
    <col min="2060" max="2060" width="23.85546875" style="2" customWidth="1"/>
    <col min="2061" max="2061" width="25.5703125" style="2" customWidth="1"/>
    <col min="2062" max="2062" width="20.5703125" style="2" customWidth="1"/>
    <col min="2063" max="2063" width="16.7109375" style="2" customWidth="1"/>
    <col min="2064" max="2064" width="16" style="2"/>
    <col min="2065" max="2065" width="12.140625" style="2" customWidth="1"/>
    <col min="2066" max="2066" width="4.42578125" style="2" customWidth="1"/>
    <col min="2067" max="2067" width="34.85546875" style="2" customWidth="1"/>
    <col min="2068" max="2304" width="16" style="2"/>
    <col min="2305" max="2305" width="21.42578125" style="2" customWidth="1"/>
    <col min="2306" max="2306" width="23.5703125" style="2" customWidth="1"/>
    <col min="2307" max="2307" width="15" style="2" customWidth="1"/>
    <col min="2308" max="2308" width="15.140625" style="2" customWidth="1"/>
    <col min="2309" max="2309" width="16" style="2" customWidth="1"/>
    <col min="2310" max="2310" width="16.140625" style="2" customWidth="1"/>
    <col min="2311" max="2311" width="17.140625" style="2" customWidth="1"/>
    <col min="2312" max="2312" width="15.28515625" style="2" customWidth="1"/>
    <col min="2313" max="2313" width="12.7109375" style="2" customWidth="1"/>
    <col min="2314" max="2314" width="15.140625" style="2" customWidth="1"/>
    <col min="2315" max="2315" width="15.28515625" style="2" customWidth="1"/>
    <col min="2316" max="2316" width="23.85546875" style="2" customWidth="1"/>
    <col min="2317" max="2317" width="25.5703125" style="2" customWidth="1"/>
    <col min="2318" max="2318" width="20.5703125" style="2" customWidth="1"/>
    <col min="2319" max="2319" width="16.7109375" style="2" customWidth="1"/>
    <col min="2320" max="2320" width="16" style="2"/>
    <col min="2321" max="2321" width="12.140625" style="2" customWidth="1"/>
    <col min="2322" max="2322" width="4.42578125" style="2" customWidth="1"/>
    <col min="2323" max="2323" width="34.85546875" style="2" customWidth="1"/>
    <col min="2324" max="2560" width="16" style="2"/>
    <col min="2561" max="2561" width="21.42578125" style="2" customWidth="1"/>
    <col min="2562" max="2562" width="23.5703125" style="2" customWidth="1"/>
    <col min="2563" max="2563" width="15" style="2" customWidth="1"/>
    <col min="2564" max="2564" width="15.140625" style="2" customWidth="1"/>
    <col min="2565" max="2565" width="16" style="2" customWidth="1"/>
    <col min="2566" max="2566" width="16.140625" style="2" customWidth="1"/>
    <col min="2567" max="2567" width="17.140625" style="2" customWidth="1"/>
    <col min="2568" max="2568" width="15.28515625" style="2" customWidth="1"/>
    <col min="2569" max="2569" width="12.7109375" style="2" customWidth="1"/>
    <col min="2570" max="2570" width="15.140625" style="2" customWidth="1"/>
    <col min="2571" max="2571" width="15.28515625" style="2" customWidth="1"/>
    <col min="2572" max="2572" width="23.85546875" style="2" customWidth="1"/>
    <col min="2573" max="2573" width="25.5703125" style="2" customWidth="1"/>
    <col min="2574" max="2574" width="20.5703125" style="2" customWidth="1"/>
    <col min="2575" max="2575" width="16.7109375" style="2" customWidth="1"/>
    <col min="2576" max="2576" width="16" style="2"/>
    <col min="2577" max="2577" width="12.140625" style="2" customWidth="1"/>
    <col min="2578" max="2578" width="4.42578125" style="2" customWidth="1"/>
    <col min="2579" max="2579" width="34.85546875" style="2" customWidth="1"/>
    <col min="2580" max="2816" width="16" style="2"/>
    <col min="2817" max="2817" width="21.42578125" style="2" customWidth="1"/>
    <col min="2818" max="2818" width="23.5703125" style="2" customWidth="1"/>
    <col min="2819" max="2819" width="15" style="2" customWidth="1"/>
    <col min="2820" max="2820" width="15.140625" style="2" customWidth="1"/>
    <col min="2821" max="2821" width="16" style="2" customWidth="1"/>
    <col min="2822" max="2822" width="16.140625" style="2" customWidth="1"/>
    <col min="2823" max="2823" width="17.140625" style="2" customWidth="1"/>
    <col min="2824" max="2824" width="15.28515625" style="2" customWidth="1"/>
    <col min="2825" max="2825" width="12.7109375" style="2" customWidth="1"/>
    <col min="2826" max="2826" width="15.140625" style="2" customWidth="1"/>
    <col min="2827" max="2827" width="15.28515625" style="2" customWidth="1"/>
    <col min="2828" max="2828" width="23.85546875" style="2" customWidth="1"/>
    <col min="2829" max="2829" width="25.5703125" style="2" customWidth="1"/>
    <col min="2830" max="2830" width="20.5703125" style="2" customWidth="1"/>
    <col min="2831" max="2831" width="16.7109375" style="2" customWidth="1"/>
    <col min="2832" max="2832" width="16" style="2"/>
    <col min="2833" max="2833" width="12.140625" style="2" customWidth="1"/>
    <col min="2834" max="2834" width="4.42578125" style="2" customWidth="1"/>
    <col min="2835" max="2835" width="34.85546875" style="2" customWidth="1"/>
    <col min="2836" max="3072" width="16" style="2"/>
    <col min="3073" max="3073" width="21.42578125" style="2" customWidth="1"/>
    <col min="3074" max="3074" width="23.5703125" style="2" customWidth="1"/>
    <col min="3075" max="3075" width="15" style="2" customWidth="1"/>
    <col min="3076" max="3076" width="15.140625" style="2" customWidth="1"/>
    <col min="3077" max="3077" width="16" style="2" customWidth="1"/>
    <col min="3078" max="3078" width="16.140625" style="2" customWidth="1"/>
    <col min="3079" max="3079" width="17.140625" style="2" customWidth="1"/>
    <col min="3080" max="3080" width="15.28515625" style="2" customWidth="1"/>
    <col min="3081" max="3081" width="12.7109375" style="2" customWidth="1"/>
    <col min="3082" max="3082" width="15.140625" style="2" customWidth="1"/>
    <col min="3083" max="3083" width="15.28515625" style="2" customWidth="1"/>
    <col min="3084" max="3084" width="23.85546875" style="2" customWidth="1"/>
    <col min="3085" max="3085" width="25.5703125" style="2" customWidth="1"/>
    <col min="3086" max="3086" width="20.5703125" style="2" customWidth="1"/>
    <col min="3087" max="3087" width="16.7109375" style="2" customWidth="1"/>
    <col min="3088" max="3088" width="16" style="2"/>
    <col min="3089" max="3089" width="12.140625" style="2" customWidth="1"/>
    <col min="3090" max="3090" width="4.42578125" style="2" customWidth="1"/>
    <col min="3091" max="3091" width="34.85546875" style="2" customWidth="1"/>
    <col min="3092" max="3328" width="16" style="2"/>
    <col min="3329" max="3329" width="21.42578125" style="2" customWidth="1"/>
    <col min="3330" max="3330" width="23.5703125" style="2" customWidth="1"/>
    <col min="3331" max="3331" width="15" style="2" customWidth="1"/>
    <col min="3332" max="3332" width="15.140625" style="2" customWidth="1"/>
    <col min="3333" max="3333" width="16" style="2" customWidth="1"/>
    <col min="3334" max="3334" width="16.140625" style="2" customWidth="1"/>
    <col min="3335" max="3335" width="17.140625" style="2" customWidth="1"/>
    <col min="3336" max="3336" width="15.28515625" style="2" customWidth="1"/>
    <col min="3337" max="3337" width="12.7109375" style="2" customWidth="1"/>
    <col min="3338" max="3338" width="15.140625" style="2" customWidth="1"/>
    <col min="3339" max="3339" width="15.28515625" style="2" customWidth="1"/>
    <col min="3340" max="3340" width="23.85546875" style="2" customWidth="1"/>
    <col min="3341" max="3341" width="25.5703125" style="2" customWidth="1"/>
    <col min="3342" max="3342" width="20.5703125" style="2" customWidth="1"/>
    <col min="3343" max="3343" width="16.7109375" style="2" customWidth="1"/>
    <col min="3344" max="3344" width="16" style="2"/>
    <col min="3345" max="3345" width="12.140625" style="2" customWidth="1"/>
    <col min="3346" max="3346" width="4.42578125" style="2" customWidth="1"/>
    <col min="3347" max="3347" width="34.85546875" style="2" customWidth="1"/>
    <col min="3348" max="3584" width="16" style="2"/>
    <col min="3585" max="3585" width="21.42578125" style="2" customWidth="1"/>
    <col min="3586" max="3586" width="23.5703125" style="2" customWidth="1"/>
    <col min="3587" max="3587" width="15" style="2" customWidth="1"/>
    <col min="3588" max="3588" width="15.140625" style="2" customWidth="1"/>
    <col min="3589" max="3589" width="16" style="2" customWidth="1"/>
    <col min="3590" max="3590" width="16.140625" style="2" customWidth="1"/>
    <col min="3591" max="3591" width="17.140625" style="2" customWidth="1"/>
    <col min="3592" max="3592" width="15.28515625" style="2" customWidth="1"/>
    <col min="3593" max="3593" width="12.7109375" style="2" customWidth="1"/>
    <col min="3594" max="3594" width="15.140625" style="2" customWidth="1"/>
    <col min="3595" max="3595" width="15.28515625" style="2" customWidth="1"/>
    <col min="3596" max="3596" width="23.85546875" style="2" customWidth="1"/>
    <col min="3597" max="3597" width="25.5703125" style="2" customWidth="1"/>
    <col min="3598" max="3598" width="20.5703125" style="2" customWidth="1"/>
    <col min="3599" max="3599" width="16.7109375" style="2" customWidth="1"/>
    <col min="3600" max="3600" width="16" style="2"/>
    <col min="3601" max="3601" width="12.140625" style="2" customWidth="1"/>
    <col min="3602" max="3602" width="4.42578125" style="2" customWidth="1"/>
    <col min="3603" max="3603" width="34.85546875" style="2" customWidth="1"/>
    <col min="3604" max="3840" width="16" style="2"/>
    <col min="3841" max="3841" width="21.42578125" style="2" customWidth="1"/>
    <col min="3842" max="3842" width="23.5703125" style="2" customWidth="1"/>
    <col min="3843" max="3843" width="15" style="2" customWidth="1"/>
    <col min="3844" max="3844" width="15.140625" style="2" customWidth="1"/>
    <col min="3845" max="3845" width="16" style="2" customWidth="1"/>
    <col min="3846" max="3846" width="16.140625" style="2" customWidth="1"/>
    <col min="3847" max="3847" width="17.140625" style="2" customWidth="1"/>
    <col min="3848" max="3848" width="15.28515625" style="2" customWidth="1"/>
    <col min="3849" max="3849" width="12.7109375" style="2" customWidth="1"/>
    <col min="3850" max="3850" width="15.140625" style="2" customWidth="1"/>
    <col min="3851" max="3851" width="15.28515625" style="2" customWidth="1"/>
    <col min="3852" max="3852" width="23.85546875" style="2" customWidth="1"/>
    <col min="3853" max="3853" width="25.5703125" style="2" customWidth="1"/>
    <col min="3854" max="3854" width="20.5703125" style="2" customWidth="1"/>
    <col min="3855" max="3855" width="16.7109375" style="2" customWidth="1"/>
    <col min="3856" max="3856" width="16" style="2"/>
    <col min="3857" max="3857" width="12.140625" style="2" customWidth="1"/>
    <col min="3858" max="3858" width="4.42578125" style="2" customWidth="1"/>
    <col min="3859" max="3859" width="34.85546875" style="2" customWidth="1"/>
    <col min="3860" max="4096" width="16" style="2"/>
    <col min="4097" max="4097" width="21.42578125" style="2" customWidth="1"/>
    <col min="4098" max="4098" width="23.5703125" style="2" customWidth="1"/>
    <col min="4099" max="4099" width="15" style="2" customWidth="1"/>
    <col min="4100" max="4100" width="15.140625" style="2" customWidth="1"/>
    <col min="4101" max="4101" width="16" style="2" customWidth="1"/>
    <col min="4102" max="4102" width="16.140625" style="2" customWidth="1"/>
    <col min="4103" max="4103" width="17.140625" style="2" customWidth="1"/>
    <col min="4104" max="4104" width="15.28515625" style="2" customWidth="1"/>
    <col min="4105" max="4105" width="12.7109375" style="2" customWidth="1"/>
    <col min="4106" max="4106" width="15.140625" style="2" customWidth="1"/>
    <col min="4107" max="4107" width="15.28515625" style="2" customWidth="1"/>
    <col min="4108" max="4108" width="23.85546875" style="2" customWidth="1"/>
    <col min="4109" max="4109" width="25.5703125" style="2" customWidth="1"/>
    <col min="4110" max="4110" width="20.5703125" style="2" customWidth="1"/>
    <col min="4111" max="4111" width="16.7109375" style="2" customWidth="1"/>
    <col min="4112" max="4112" width="16" style="2"/>
    <col min="4113" max="4113" width="12.140625" style="2" customWidth="1"/>
    <col min="4114" max="4114" width="4.42578125" style="2" customWidth="1"/>
    <col min="4115" max="4115" width="34.85546875" style="2" customWidth="1"/>
    <col min="4116" max="4352" width="16" style="2"/>
    <col min="4353" max="4353" width="21.42578125" style="2" customWidth="1"/>
    <col min="4354" max="4354" width="23.5703125" style="2" customWidth="1"/>
    <col min="4355" max="4355" width="15" style="2" customWidth="1"/>
    <col min="4356" max="4356" width="15.140625" style="2" customWidth="1"/>
    <col min="4357" max="4357" width="16" style="2" customWidth="1"/>
    <col min="4358" max="4358" width="16.140625" style="2" customWidth="1"/>
    <col min="4359" max="4359" width="17.140625" style="2" customWidth="1"/>
    <col min="4360" max="4360" width="15.28515625" style="2" customWidth="1"/>
    <col min="4361" max="4361" width="12.7109375" style="2" customWidth="1"/>
    <col min="4362" max="4362" width="15.140625" style="2" customWidth="1"/>
    <col min="4363" max="4363" width="15.28515625" style="2" customWidth="1"/>
    <col min="4364" max="4364" width="23.85546875" style="2" customWidth="1"/>
    <col min="4365" max="4365" width="25.5703125" style="2" customWidth="1"/>
    <col min="4366" max="4366" width="20.5703125" style="2" customWidth="1"/>
    <col min="4367" max="4367" width="16.7109375" style="2" customWidth="1"/>
    <col min="4368" max="4368" width="16" style="2"/>
    <col min="4369" max="4369" width="12.140625" style="2" customWidth="1"/>
    <col min="4370" max="4370" width="4.42578125" style="2" customWidth="1"/>
    <col min="4371" max="4371" width="34.85546875" style="2" customWidth="1"/>
    <col min="4372" max="4608" width="16" style="2"/>
    <col min="4609" max="4609" width="21.42578125" style="2" customWidth="1"/>
    <col min="4610" max="4610" width="23.5703125" style="2" customWidth="1"/>
    <col min="4611" max="4611" width="15" style="2" customWidth="1"/>
    <col min="4612" max="4612" width="15.140625" style="2" customWidth="1"/>
    <col min="4613" max="4613" width="16" style="2" customWidth="1"/>
    <col min="4614" max="4614" width="16.140625" style="2" customWidth="1"/>
    <col min="4615" max="4615" width="17.140625" style="2" customWidth="1"/>
    <col min="4616" max="4616" width="15.28515625" style="2" customWidth="1"/>
    <col min="4617" max="4617" width="12.7109375" style="2" customWidth="1"/>
    <col min="4618" max="4618" width="15.140625" style="2" customWidth="1"/>
    <col min="4619" max="4619" width="15.28515625" style="2" customWidth="1"/>
    <col min="4620" max="4620" width="23.85546875" style="2" customWidth="1"/>
    <col min="4621" max="4621" width="25.5703125" style="2" customWidth="1"/>
    <col min="4622" max="4622" width="20.5703125" style="2" customWidth="1"/>
    <col min="4623" max="4623" width="16.7109375" style="2" customWidth="1"/>
    <col min="4624" max="4624" width="16" style="2"/>
    <col min="4625" max="4625" width="12.140625" style="2" customWidth="1"/>
    <col min="4626" max="4626" width="4.42578125" style="2" customWidth="1"/>
    <col min="4627" max="4627" width="34.85546875" style="2" customWidth="1"/>
    <col min="4628" max="4864" width="16" style="2"/>
    <col min="4865" max="4865" width="21.42578125" style="2" customWidth="1"/>
    <col min="4866" max="4866" width="23.5703125" style="2" customWidth="1"/>
    <col min="4867" max="4867" width="15" style="2" customWidth="1"/>
    <col min="4868" max="4868" width="15.140625" style="2" customWidth="1"/>
    <col min="4869" max="4869" width="16" style="2" customWidth="1"/>
    <col min="4870" max="4870" width="16.140625" style="2" customWidth="1"/>
    <col min="4871" max="4871" width="17.140625" style="2" customWidth="1"/>
    <col min="4872" max="4872" width="15.28515625" style="2" customWidth="1"/>
    <col min="4873" max="4873" width="12.7109375" style="2" customWidth="1"/>
    <col min="4874" max="4874" width="15.140625" style="2" customWidth="1"/>
    <col min="4875" max="4875" width="15.28515625" style="2" customWidth="1"/>
    <col min="4876" max="4876" width="23.85546875" style="2" customWidth="1"/>
    <col min="4877" max="4877" width="25.5703125" style="2" customWidth="1"/>
    <col min="4878" max="4878" width="20.5703125" style="2" customWidth="1"/>
    <col min="4879" max="4879" width="16.7109375" style="2" customWidth="1"/>
    <col min="4880" max="4880" width="16" style="2"/>
    <col min="4881" max="4881" width="12.140625" style="2" customWidth="1"/>
    <col min="4882" max="4882" width="4.42578125" style="2" customWidth="1"/>
    <col min="4883" max="4883" width="34.85546875" style="2" customWidth="1"/>
    <col min="4884" max="5120" width="16" style="2"/>
    <col min="5121" max="5121" width="21.42578125" style="2" customWidth="1"/>
    <col min="5122" max="5122" width="23.5703125" style="2" customWidth="1"/>
    <col min="5123" max="5123" width="15" style="2" customWidth="1"/>
    <col min="5124" max="5124" width="15.140625" style="2" customWidth="1"/>
    <col min="5125" max="5125" width="16" style="2" customWidth="1"/>
    <col min="5126" max="5126" width="16.140625" style="2" customWidth="1"/>
    <col min="5127" max="5127" width="17.140625" style="2" customWidth="1"/>
    <col min="5128" max="5128" width="15.28515625" style="2" customWidth="1"/>
    <col min="5129" max="5129" width="12.7109375" style="2" customWidth="1"/>
    <col min="5130" max="5130" width="15.140625" style="2" customWidth="1"/>
    <col min="5131" max="5131" width="15.28515625" style="2" customWidth="1"/>
    <col min="5132" max="5132" width="23.85546875" style="2" customWidth="1"/>
    <col min="5133" max="5133" width="25.5703125" style="2" customWidth="1"/>
    <col min="5134" max="5134" width="20.5703125" style="2" customWidth="1"/>
    <col min="5135" max="5135" width="16.7109375" style="2" customWidth="1"/>
    <col min="5136" max="5136" width="16" style="2"/>
    <col min="5137" max="5137" width="12.140625" style="2" customWidth="1"/>
    <col min="5138" max="5138" width="4.42578125" style="2" customWidth="1"/>
    <col min="5139" max="5139" width="34.85546875" style="2" customWidth="1"/>
    <col min="5140" max="5376" width="16" style="2"/>
    <col min="5377" max="5377" width="21.42578125" style="2" customWidth="1"/>
    <col min="5378" max="5378" width="23.5703125" style="2" customWidth="1"/>
    <col min="5379" max="5379" width="15" style="2" customWidth="1"/>
    <col min="5380" max="5380" width="15.140625" style="2" customWidth="1"/>
    <col min="5381" max="5381" width="16" style="2" customWidth="1"/>
    <col min="5382" max="5382" width="16.140625" style="2" customWidth="1"/>
    <col min="5383" max="5383" width="17.140625" style="2" customWidth="1"/>
    <col min="5384" max="5384" width="15.28515625" style="2" customWidth="1"/>
    <col min="5385" max="5385" width="12.7109375" style="2" customWidth="1"/>
    <col min="5386" max="5386" width="15.140625" style="2" customWidth="1"/>
    <col min="5387" max="5387" width="15.28515625" style="2" customWidth="1"/>
    <col min="5388" max="5388" width="23.85546875" style="2" customWidth="1"/>
    <col min="5389" max="5389" width="25.5703125" style="2" customWidth="1"/>
    <col min="5390" max="5390" width="20.5703125" style="2" customWidth="1"/>
    <col min="5391" max="5391" width="16.7109375" style="2" customWidth="1"/>
    <col min="5392" max="5392" width="16" style="2"/>
    <col min="5393" max="5393" width="12.140625" style="2" customWidth="1"/>
    <col min="5394" max="5394" width="4.42578125" style="2" customWidth="1"/>
    <col min="5395" max="5395" width="34.85546875" style="2" customWidth="1"/>
    <col min="5396" max="5632" width="16" style="2"/>
    <col min="5633" max="5633" width="21.42578125" style="2" customWidth="1"/>
    <col min="5634" max="5634" width="23.5703125" style="2" customWidth="1"/>
    <col min="5635" max="5635" width="15" style="2" customWidth="1"/>
    <col min="5636" max="5636" width="15.140625" style="2" customWidth="1"/>
    <col min="5637" max="5637" width="16" style="2" customWidth="1"/>
    <col min="5638" max="5638" width="16.140625" style="2" customWidth="1"/>
    <col min="5639" max="5639" width="17.140625" style="2" customWidth="1"/>
    <col min="5640" max="5640" width="15.28515625" style="2" customWidth="1"/>
    <col min="5641" max="5641" width="12.7109375" style="2" customWidth="1"/>
    <col min="5642" max="5642" width="15.140625" style="2" customWidth="1"/>
    <col min="5643" max="5643" width="15.28515625" style="2" customWidth="1"/>
    <col min="5644" max="5644" width="23.85546875" style="2" customWidth="1"/>
    <col min="5645" max="5645" width="25.5703125" style="2" customWidth="1"/>
    <col min="5646" max="5646" width="20.5703125" style="2" customWidth="1"/>
    <col min="5647" max="5647" width="16.7109375" style="2" customWidth="1"/>
    <col min="5648" max="5648" width="16" style="2"/>
    <col min="5649" max="5649" width="12.140625" style="2" customWidth="1"/>
    <col min="5650" max="5650" width="4.42578125" style="2" customWidth="1"/>
    <col min="5651" max="5651" width="34.85546875" style="2" customWidth="1"/>
    <col min="5652" max="5888" width="16" style="2"/>
    <col min="5889" max="5889" width="21.42578125" style="2" customWidth="1"/>
    <col min="5890" max="5890" width="23.5703125" style="2" customWidth="1"/>
    <col min="5891" max="5891" width="15" style="2" customWidth="1"/>
    <col min="5892" max="5892" width="15.140625" style="2" customWidth="1"/>
    <col min="5893" max="5893" width="16" style="2" customWidth="1"/>
    <col min="5894" max="5894" width="16.140625" style="2" customWidth="1"/>
    <col min="5895" max="5895" width="17.140625" style="2" customWidth="1"/>
    <col min="5896" max="5896" width="15.28515625" style="2" customWidth="1"/>
    <col min="5897" max="5897" width="12.7109375" style="2" customWidth="1"/>
    <col min="5898" max="5898" width="15.140625" style="2" customWidth="1"/>
    <col min="5899" max="5899" width="15.28515625" style="2" customWidth="1"/>
    <col min="5900" max="5900" width="23.85546875" style="2" customWidth="1"/>
    <col min="5901" max="5901" width="25.5703125" style="2" customWidth="1"/>
    <col min="5902" max="5902" width="20.5703125" style="2" customWidth="1"/>
    <col min="5903" max="5903" width="16.7109375" style="2" customWidth="1"/>
    <col min="5904" max="5904" width="16" style="2"/>
    <col min="5905" max="5905" width="12.140625" style="2" customWidth="1"/>
    <col min="5906" max="5906" width="4.42578125" style="2" customWidth="1"/>
    <col min="5907" max="5907" width="34.85546875" style="2" customWidth="1"/>
    <col min="5908" max="6144" width="16" style="2"/>
    <col min="6145" max="6145" width="21.42578125" style="2" customWidth="1"/>
    <col min="6146" max="6146" width="23.5703125" style="2" customWidth="1"/>
    <col min="6147" max="6147" width="15" style="2" customWidth="1"/>
    <col min="6148" max="6148" width="15.140625" style="2" customWidth="1"/>
    <col min="6149" max="6149" width="16" style="2" customWidth="1"/>
    <col min="6150" max="6150" width="16.140625" style="2" customWidth="1"/>
    <col min="6151" max="6151" width="17.140625" style="2" customWidth="1"/>
    <col min="6152" max="6152" width="15.28515625" style="2" customWidth="1"/>
    <col min="6153" max="6153" width="12.7109375" style="2" customWidth="1"/>
    <col min="6154" max="6154" width="15.140625" style="2" customWidth="1"/>
    <col min="6155" max="6155" width="15.28515625" style="2" customWidth="1"/>
    <col min="6156" max="6156" width="23.85546875" style="2" customWidth="1"/>
    <col min="6157" max="6157" width="25.5703125" style="2" customWidth="1"/>
    <col min="6158" max="6158" width="20.5703125" style="2" customWidth="1"/>
    <col min="6159" max="6159" width="16.7109375" style="2" customWidth="1"/>
    <col min="6160" max="6160" width="16" style="2"/>
    <col min="6161" max="6161" width="12.140625" style="2" customWidth="1"/>
    <col min="6162" max="6162" width="4.42578125" style="2" customWidth="1"/>
    <col min="6163" max="6163" width="34.85546875" style="2" customWidth="1"/>
    <col min="6164" max="6400" width="16" style="2"/>
    <col min="6401" max="6401" width="21.42578125" style="2" customWidth="1"/>
    <col min="6402" max="6402" width="23.5703125" style="2" customWidth="1"/>
    <col min="6403" max="6403" width="15" style="2" customWidth="1"/>
    <col min="6404" max="6404" width="15.140625" style="2" customWidth="1"/>
    <col min="6405" max="6405" width="16" style="2" customWidth="1"/>
    <col min="6406" max="6406" width="16.140625" style="2" customWidth="1"/>
    <col min="6407" max="6407" width="17.140625" style="2" customWidth="1"/>
    <col min="6408" max="6408" width="15.28515625" style="2" customWidth="1"/>
    <col min="6409" max="6409" width="12.7109375" style="2" customWidth="1"/>
    <col min="6410" max="6410" width="15.140625" style="2" customWidth="1"/>
    <col min="6411" max="6411" width="15.28515625" style="2" customWidth="1"/>
    <col min="6412" max="6412" width="23.85546875" style="2" customWidth="1"/>
    <col min="6413" max="6413" width="25.5703125" style="2" customWidth="1"/>
    <col min="6414" max="6414" width="20.5703125" style="2" customWidth="1"/>
    <col min="6415" max="6415" width="16.7109375" style="2" customWidth="1"/>
    <col min="6416" max="6416" width="16" style="2"/>
    <col min="6417" max="6417" width="12.140625" style="2" customWidth="1"/>
    <col min="6418" max="6418" width="4.42578125" style="2" customWidth="1"/>
    <col min="6419" max="6419" width="34.85546875" style="2" customWidth="1"/>
    <col min="6420" max="6656" width="16" style="2"/>
    <col min="6657" max="6657" width="21.42578125" style="2" customWidth="1"/>
    <col min="6658" max="6658" width="23.5703125" style="2" customWidth="1"/>
    <col min="6659" max="6659" width="15" style="2" customWidth="1"/>
    <col min="6660" max="6660" width="15.140625" style="2" customWidth="1"/>
    <col min="6661" max="6661" width="16" style="2" customWidth="1"/>
    <col min="6662" max="6662" width="16.140625" style="2" customWidth="1"/>
    <col min="6663" max="6663" width="17.140625" style="2" customWidth="1"/>
    <col min="6664" max="6664" width="15.28515625" style="2" customWidth="1"/>
    <col min="6665" max="6665" width="12.7109375" style="2" customWidth="1"/>
    <col min="6666" max="6666" width="15.140625" style="2" customWidth="1"/>
    <col min="6667" max="6667" width="15.28515625" style="2" customWidth="1"/>
    <col min="6668" max="6668" width="23.85546875" style="2" customWidth="1"/>
    <col min="6669" max="6669" width="25.5703125" style="2" customWidth="1"/>
    <col min="6670" max="6670" width="20.5703125" style="2" customWidth="1"/>
    <col min="6671" max="6671" width="16.7109375" style="2" customWidth="1"/>
    <col min="6672" max="6672" width="16" style="2"/>
    <col min="6673" max="6673" width="12.140625" style="2" customWidth="1"/>
    <col min="6674" max="6674" width="4.42578125" style="2" customWidth="1"/>
    <col min="6675" max="6675" width="34.85546875" style="2" customWidth="1"/>
    <col min="6676" max="6912" width="16" style="2"/>
    <col min="6913" max="6913" width="21.42578125" style="2" customWidth="1"/>
    <col min="6914" max="6914" width="23.5703125" style="2" customWidth="1"/>
    <col min="6915" max="6915" width="15" style="2" customWidth="1"/>
    <col min="6916" max="6916" width="15.140625" style="2" customWidth="1"/>
    <col min="6917" max="6917" width="16" style="2" customWidth="1"/>
    <col min="6918" max="6918" width="16.140625" style="2" customWidth="1"/>
    <col min="6919" max="6919" width="17.140625" style="2" customWidth="1"/>
    <col min="6920" max="6920" width="15.28515625" style="2" customWidth="1"/>
    <col min="6921" max="6921" width="12.7109375" style="2" customWidth="1"/>
    <col min="6922" max="6922" width="15.140625" style="2" customWidth="1"/>
    <col min="6923" max="6923" width="15.28515625" style="2" customWidth="1"/>
    <col min="6924" max="6924" width="23.85546875" style="2" customWidth="1"/>
    <col min="6925" max="6925" width="25.5703125" style="2" customWidth="1"/>
    <col min="6926" max="6926" width="20.5703125" style="2" customWidth="1"/>
    <col min="6927" max="6927" width="16.7109375" style="2" customWidth="1"/>
    <col min="6928" max="6928" width="16" style="2"/>
    <col min="6929" max="6929" width="12.140625" style="2" customWidth="1"/>
    <col min="6930" max="6930" width="4.42578125" style="2" customWidth="1"/>
    <col min="6931" max="6931" width="34.85546875" style="2" customWidth="1"/>
    <col min="6932" max="7168" width="16" style="2"/>
    <col min="7169" max="7169" width="21.42578125" style="2" customWidth="1"/>
    <col min="7170" max="7170" width="23.5703125" style="2" customWidth="1"/>
    <col min="7171" max="7171" width="15" style="2" customWidth="1"/>
    <col min="7172" max="7172" width="15.140625" style="2" customWidth="1"/>
    <col min="7173" max="7173" width="16" style="2" customWidth="1"/>
    <col min="7174" max="7174" width="16.140625" style="2" customWidth="1"/>
    <col min="7175" max="7175" width="17.140625" style="2" customWidth="1"/>
    <col min="7176" max="7176" width="15.28515625" style="2" customWidth="1"/>
    <col min="7177" max="7177" width="12.7109375" style="2" customWidth="1"/>
    <col min="7178" max="7178" width="15.140625" style="2" customWidth="1"/>
    <col min="7179" max="7179" width="15.28515625" style="2" customWidth="1"/>
    <col min="7180" max="7180" width="23.85546875" style="2" customWidth="1"/>
    <col min="7181" max="7181" width="25.5703125" style="2" customWidth="1"/>
    <col min="7182" max="7182" width="20.5703125" style="2" customWidth="1"/>
    <col min="7183" max="7183" width="16.7109375" style="2" customWidth="1"/>
    <col min="7184" max="7184" width="16" style="2"/>
    <col min="7185" max="7185" width="12.140625" style="2" customWidth="1"/>
    <col min="7186" max="7186" width="4.42578125" style="2" customWidth="1"/>
    <col min="7187" max="7187" width="34.85546875" style="2" customWidth="1"/>
    <col min="7188" max="7424" width="16" style="2"/>
    <col min="7425" max="7425" width="21.42578125" style="2" customWidth="1"/>
    <col min="7426" max="7426" width="23.5703125" style="2" customWidth="1"/>
    <col min="7427" max="7427" width="15" style="2" customWidth="1"/>
    <col min="7428" max="7428" width="15.140625" style="2" customWidth="1"/>
    <col min="7429" max="7429" width="16" style="2" customWidth="1"/>
    <col min="7430" max="7430" width="16.140625" style="2" customWidth="1"/>
    <col min="7431" max="7431" width="17.140625" style="2" customWidth="1"/>
    <col min="7432" max="7432" width="15.28515625" style="2" customWidth="1"/>
    <col min="7433" max="7433" width="12.7109375" style="2" customWidth="1"/>
    <col min="7434" max="7434" width="15.140625" style="2" customWidth="1"/>
    <col min="7435" max="7435" width="15.28515625" style="2" customWidth="1"/>
    <col min="7436" max="7436" width="23.85546875" style="2" customWidth="1"/>
    <col min="7437" max="7437" width="25.5703125" style="2" customWidth="1"/>
    <col min="7438" max="7438" width="20.5703125" style="2" customWidth="1"/>
    <col min="7439" max="7439" width="16.7109375" style="2" customWidth="1"/>
    <col min="7440" max="7440" width="16" style="2"/>
    <col min="7441" max="7441" width="12.140625" style="2" customWidth="1"/>
    <col min="7442" max="7442" width="4.42578125" style="2" customWidth="1"/>
    <col min="7443" max="7443" width="34.85546875" style="2" customWidth="1"/>
    <col min="7444" max="7680" width="16" style="2"/>
    <col min="7681" max="7681" width="21.42578125" style="2" customWidth="1"/>
    <col min="7682" max="7682" width="23.5703125" style="2" customWidth="1"/>
    <col min="7683" max="7683" width="15" style="2" customWidth="1"/>
    <col min="7684" max="7684" width="15.140625" style="2" customWidth="1"/>
    <col min="7685" max="7685" width="16" style="2" customWidth="1"/>
    <col min="7686" max="7686" width="16.140625" style="2" customWidth="1"/>
    <col min="7687" max="7687" width="17.140625" style="2" customWidth="1"/>
    <col min="7688" max="7688" width="15.28515625" style="2" customWidth="1"/>
    <col min="7689" max="7689" width="12.7109375" style="2" customWidth="1"/>
    <col min="7690" max="7690" width="15.140625" style="2" customWidth="1"/>
    <col min="7691" max="7691" width="15.28515625" style="2" customWidth="1"/>
    <col min="7692" max="7692" width="23.85546875" style="2" customWidth="1"/>
    <col min="7693" max="7693" width="25.5703125" style="2" customWidth="1"/>
    <col min="7694" max="7694" width="20.5703125" style="2" customWidth="1"/>
    <col min="7695" max="7695" width="16.7109375" style="2" customWidth="1"/>
    <col min="7696" max="7696" width="16" style="2"/>
    <col min="7697" max="7697" width="12.140625" style="2" customWidth="1"/>
    <col min="7698" max="7698" width="4.42578125" style="2" customWidth="1"/>
    <col min="7699" max="7699" width="34.85546875" style="2" customWidth="1"/>
    <col min="7700" max="7936" width="16" style="2"/>
    <col min="7937" max="7937" width="21.42578125" style="2" customWidth="1"/>
    <col min="7938" max="7938" width="23.5703125" style="2" customWidth="1"/>
    <col min="7939" max="7939" width="15" style="2" customWidth="1"/>
    <col min="7940" max="7940" width="15.140625" style="2" customWidth="1"/>
    <col min="7941" max="7941" width="16" style="2" customWidth="1"/>
    <col min="7942" max="7942" width="16.140625" style="2" customWidth="1"/>
    <col min="7943" max="7943" width="17.140625" style="2" customWidth="1"/>
    <col min="7944" max="7944" width="15.28515625" style="2" customWidth="1"/>
    <col min="7945" max="7945" width="12.7109375" style="2" customWidth="1"/>
    <col min="7946" max="7946" width="15.140625" style="2" customWidth="1"/>
    <col min="7947" max="7947" width="15.28515625" style="2" customWidth="1"/>
    <col min="7948" max="7948" width="23.85546875" style="2" customWidth="1"/>
    <col min="7949" max="7949" width="25.5703125" style="2" customWidth="1"/>
    <col min="7950" max="7950" width="20.5703125" style="2" customWidth="1"/>
    <col min="7951" max="7951" width="16.7109375" style="2" customWidth="1"/>
    <col min="7952" max="7952" width="16" style="2"/>
    <col min="7953" max="7953" width="12.140625" style="2" customWidth="1"/>
    <col min="7954" max="7954" width="4.42578125" style="2" customWidth="1"/>
    <col min="7955" max="7955" width="34.85546875" style="2" customWidth="1"/>
    <col min="7956" max="8192" width="16" style="2"/>
    <col min="8193" max="8193" width="21.42578125" style="2" customWidth="1"/>
    <col min="8194" max="8194" width="23.5703125" style="2" customWidth="1"/>
    <col min="8195" max="8195" width="15" style="2" customWidth="1"/>
    <col min="8196" max="8196" width="15.140625" style="2" customWidth="1"/>
    <col min="8197" max="8197" width="16" style="2" customWidth="1"/>
    <col min="8198" max="8198" width="16.140625" style="2" customWidth="1"/>
    <col min="8199" max="8199" width="17.140625" style="2" customWidth="1"/>
    <col min="8200" max="8200" width="15.28515625" style="2" customWidth="1"/>
    <col min="8201" max="8201" width="12.7109375" style="2" customWidth="1"/>
    <col min="8202" max="8202" width="15.140625" style="2" customWidth="1"/>
    <col min="8203" max="8203" width="15.28515625" style="2" customWidth="1"/>
    <col min="8204" max="8204" width="23.85546875" style="2" customWidth="1"/>
    <col min="8205" max="8205" width="25.5703125" style="2" customWidth="1"/>
    <col min="8206" max="8206" width="20.5703125" style="2" customWidth="1"/>
    <col min="8207" max="8207" width="16.7109375" style="2" customWidth="1"/>
    <col min="8208" max="8208" width="16" style="2"/>
    <col min="8209" max="8209" width="12.140625" style="2" customWidth="1"/>
    <col min="8210" max="8210" width="4.42578125" style="2" customWidth="1"/>
    <col min="8211" max="8211" width="34.85546875" style="2" customWidth="1"/>
    <col min="8212" max="8448" width="16" style="2"/>
    <col min="8449" max="8449" width="21.42578125" style="2" customWidth="1"/>
    <col min="8450" max="8450" width="23.5703125" style="2" customWidth="1"/>
    <col min="8451" max="8451" width="15" style="2" customWidth="1"/>
    <col min="8452" max="8452" width="15.140625" style="2" customWidth="1"/>
    <col min="8453" max="8453" width="16" style="2" customWidth="1"/>
    <col min="8454" max="8454" width="16.140625" style="2" customWidth="1"/>
    <col min="8455" max="8455" width="17.140625" style="2" customWidth="1"/>
    <col min="8456" max="8456" width="15.28515625" style="2" customWidth="1"/>
    <col min="8457" max="8457" width="12.7109375" style="2" customWidth="1"/>
    <col min="8458" max="8458" width="15.140625" style="2" customWidth="1"/>
    <col min="8459" max="8459" width="15.28515625" style="2" customWidth="1"/>
    <col min="8460" max="8460" width="23.85546875" style="2" customWidth="1"/>
    <col min="8461" max="8461" width="25.5703125" style="2" customWidth="1"/>
    <col min="8462" max="8462" width="20.5703125" style="2" customWidth="1"/>
    <col min="8463" max="8463" width="16.7109375" style="2" customWidth="1"/>
    <col min="8464" max="8464" width="16" style="2"/>
    <col min="8465" max="8465" width="12.140625" style="2" customWidth="1"/>
    <col min="8466" max="8466" width="4.42578125" style="2" customWidth="1"/>
    <col min="8467" max="8467" width="34.85546875" style="2" customWidth="1"/>
    <col min="8468" max="8704" width="16" style="2"/>
    <col min="8705" max="8705" width="21.42578125" style="2" customWidth="1"/>
    <col min="8706" max="8706" width="23.5703125" style="2" customWidth="1"/>
    <col min="8707" max="8707" width="15" style="2" customWidth="1"/>
    <col min="8708" max="8708" width="15.140625" style="2" customWidth="1"/>
    <col min="8709" max="8709" width="16" style="2" customWidth="1"/>
    <col min="8710" max="8710" width="16.140625" style="2" customWidth="1"/>
    <col min="8711" max="8711" width="17.140625" style="2" customWidth="1"/>
    <col min="8712" max="8712" width="15.28515625" style="2" customWidth="1"/>
    <col min="8713" max="8713" width="12.7109375" style="2" customWidth="1"/>
    <col min="8714" max="8714" width="15.140625" style="2" customWidth="1"/>
    <col min="8715" max="8715" width="15.28515625" style="2" customWidth="1"/>
    <col min="8716" max="8716" width="23.85546875" style="2" customWidth="1"/>
    <col min="8717" max="8717" width="25.5703125" style="2" customWidth="1"/>
    <col min="8718" max="8718" width="20.5703125" style="2" customWidth="1"/>
    <col min="8719" max="8719" width="16.7109375" style="2" customWidth="1"/>
    <col min="8720" max="8720" width="16" style="2"/>
    <col min="8721" max="8721" width="12.140625" style="2" customWidth="1"/>
    <col min="8722" max="8722" width="4.42578125" style="2" customWidth="1"/>
    <col min="8723" max="8723" width="34.85546875" style="2" customWidth="1"/>
    <col min="8724" max="8960" width="16" style="2"/>
    <col min="8961" max="8961" width="21.42578125" style="2" customWidth="1"/>
    <col min="8962" max="8962" width="23.5703125" style="2" customWidth="1"/>
    <col min="8963" max="8963" width="15" style="2" customWidth="1"/>
    <col min="8964" max="8964" width="15.140625" style="2" customWidth="1"/>
    <col min="8965" max="8965" width="16" style="2" customWidth="1"/>
    <col min="8966" max="8966" width="16.140625" style="2" customWidth="1"/>
    <col min="8967" max="8967" width="17.140625" style="2" customWidth="1"/>
    <col min="8968" max="8968" width="15.28515625" style="2" customWidth="1"/>
    <col min="8969" max="8969" width="12.7109375" style="2" customWidth="1"/>
    <col min="8970" max="8970" width="15.140625" style="2" customWidth="1"/>
    <col min="8971" max="8971" width="15.28515625" style="2" customWidth="1"/>
    <col min="8972" max="8972" width="23.85546875" style="2" customWidth="1"/>
    <col min="8973" max="8973" width="25.5703125" style="2" customWidth="1"/>
    <col min="8974" max="8974" width="20.5703125" style="2" customWidth="1"/>
    <col min="8975" max="8975" width="16.7109375" style="2" customWidth="1"/>
    <col min="8976" max="8976" width="16" style="2"/>
    <col min="8977" max="8977" width="12.140625" style="2" customWidth="1"/>
    <col min="8978" max="8978" width="4.42578125" style="2" customWidth="1"/>
    <col min="8979" max="8979" width="34.85546875" style="2" customWidth="1"/>
    <col min="8980" max="9216" width="16" style="2"/>
    <col min="9217" max="9217" width="21.42578125" style="2" customWidth="1"/>
    <col min="9218" max="9218" width="23.5703125" style="2" customWidth="1"/>
    <col min="9219" max="9219" width="15" style="2" customWidth="1"/>
    <col min="9220" max="9220" width="15.140625" style="2" customWidth="1"/>
    <col min="9221" max="9221" width="16" style="2" customWidth="1"/>
    <col min="9222" max="9222" width="16.140625" style="2" customWidth="1"/>
    <col min="9223" max="9223" width="17.140625" style="2" customWidth="1"/>
    <col min="9224" max="9224" width="15.28515625" style="2" customWidth="1"/>
    <col min="9225" max="9225" width="12.7109375" style="2" customWidth="1"/>
    <col min="9226" max="9226" width="15.140625" style="2" customWidth="1"/>
    <col min="9227" max="9227" width="15.28515625" style="2" customWidth="1"/>
    <col min="9228" max="9228" width="23.85546875" style="2" customWidth="1"/>
    <col min="9229" max="9229" width="25.5703125" style="2" customWidth="1"/>
    <col min="9230" max="9230" width="20.5703125" style="2" customWidth="1"/>
    <col min="9231" max="9231" width="16.7109375" style="2" customWidth="1"/>
    <col min="9232" max="9232" width="16" style="2"/>
    <col min="9233" max="9233" width="12.140625" style="2" customWidth="1"/>
    <col min="9234" max="9234" width="4.42578125" style="2" customWidth="1"/>
    <col min="9235" max="9235" width="34.85546875" style="2" customWidth="1"/>
    <col min="9236" max="9472" width="16" style="2"/>
    <col min="9473" max="9473" width="21.42578125" style="2" customWidth="1"/>
    <col min="9474" max="9474" width="23.5703125" style="2" customWidth="1"/>
    <col min="9475" max="9475" width="15" style="2" customWidth="1"/>
    <col min="9476" max="9476" width="15.140625" style="2" customWidth="1"/>
    <col min="9477" max="9477" width="16" style="2" customWidth="1"/>
    <col min="9478" max="9478" width="16.140625" style="2" customWidth="1"/>
    <col min="9479" max="9479" width="17.140625" style="2" customWidth="1"/>
    <col min="9480" max="9480" width="15.28515625" style="2" customWidth="1"/>
    <col min="9481" max="9481" width="12.7109375" style="2" customWidth="1"/>
    <col min="9482" max="9482" width="15.140625" style="2" customWidth="1"/>
    <col min="9483" max="9483" width="15.28515625" style="2" customWidth="1"/>
    <col min="9484" max="9484" width="23.85546875" style="2" customWidth="1"/>
    <col min="9485" max="9485" width="25.5703125" style="2" customWidth="1"/>
    <col min="9486" max="9486" width="20.5703125" style="2" customWidth="1"/>
    <col min="9487" max="9487" width="16.7109375" style="2" customWidth="1"/>
    <col min="9488" max="9488" width="16" style="2"/>
    <col min="9489" max="9489" width="12.140625" style="2" customWidth="1"/>
    <col min="9490" max="9490" width="4.42578125" style="2" customWidth="1"/>
    <col min="9491" max="9491" width="34.85546875" style="2" customWidth="1"/>
    <col min="9492" max="9728" width="16" style="2"/>
    <col min="9729" max="9729" width="21.42578125" style="2" customWidth="1"/>
    <col min="9730" max="9730" width="23.5703125" style="2" customWidth="1"/>
    <col min="9731" max="9731" width="15" style="2" customWidth="1"/>
    <col min="9732" max="9732" width="15.140625" style="2" customWidth="1"/>
    <col min="9733" max="9733" width="16" style="2" customWidth="1"/>
    <col min="9734" max="9734" width="16.140625" style="2" customWidth="1"/>
    <col min="9735" max="9735" width="17.140625" style="2" customWidth="1"/>
    <col min="9736" max="9736" width="15.28515625" style="2" customWidth="1"/>
    <col min="9737" max="9737" width="12.7109375" style="2" customWidth="1"/>
    <col min="9738" max="9738" width="15.140625" style="2" customWidth="1"/>
    <col min="9739" max="9739" width="15.28515625" style="2" customWidth="1"/>
    <col min="9740" max="9740" width="23.85546875" style="2" customWidth="1"/>
    <col min="9741" max="9741" width="25.5703125" style="2" customWidth="1"/>
    <col min="9742" max="9742" width="20.5703125" style="2" customWidth="1"/>
    <col min="9743" max="9743" width="16.7109375" style="2" customWidth="1"/>
    <col min="9744" max="9744" width="16" style="2"/>
    <col min="9745" max="9745" width="12.140625" style="2" customWidth="1"/>
    <col min="9746" max="9746" width="4.42578125" style="2" customWidth="1"/>
    <col min="9747" max="9747" width="34.85546875" style="2" customWidth="1"/>
    <col min="9748" max="9984" width="16" style="2"/>
    <col min="9985" max="9985" width="21.42578125" style="2" customWidth="1"/>
    <col min="9986" max="9986" width="23.5703125" style="2" customWidth="1"/>
    <col min="9987" max="9987" width="15" style="2" customWidth="1"/>
    <col min="9988" max="9988" width="15.140625" style="2" customWidth="1"/>
    <col min="9989" max="9989" width="16" style="2" customWidth="1"/>
    <col min="9990" max="9990" width="16.140625" style="2" customWidth="1"/>
    <col min="9991" max="9991" width="17.140625" style="2" customWidth="1"/>
    <col min="9992" max="9992" width="15.28515625" style="2" customWidth="1"/>
    <col min="9993" max="9993" width="12.7109375" style="2" customWidth="1"/>
    <col min="9994" max="9994" width="15.140625" style="2" customWidth="1"/>
    <col min="9995" max="9995" width="15.28515625" style="2" customWidth="1"/>
    <col min="9996" max="9996" width="23.85546875" style="2" customWidth="1"/>
    <col min="9997" max="9997" width="25.5703125" style="2" customWidth="1"/>
    <col min="9998" max="9998" width="20.5703125" style="2" customWidth="1"/>
    <col min="9999" max="9999" width="16.7109375" style="2" customWidth="1"/>
    <col min="10000" max="10000" width="16" style="2"/>
    <col min="10001" max="10001" width="12.140625" style="2" customWidth="1"/>
    <col min="10002" max="10002" width="4.42578125" style="2" customWidth="1"/>
    <col min="10003" max="10003" width="34.85546875" style="2" customWidth="1"/>
    <col min="10004" max="10240" width="16" style="2"/>
    <col min="10241" max="10241" width="21.42578125" style="2" customWidth="1"/>
    <col min="10242" max="10242" width="23.5703125" style="2" customWidth="1"/>
    <col min="10243" max="10243" width="15" style="2" customWidth="1"/>
    <col min="10244" max="10244" width="15.140625" style="2" customWidth="1"/>
    <col min="10245" max="10245" width="16" style="2" customWidth="1"/>
    <col min="10246" max="10246" width="16.140625" style="2" customWidth="1"/>
    <col min="10247" max="10247" width="17.140625" style="2" customWidth="1"/>
    <col min="10248" max="10248" width="15.28515625" style="2" customWidth="1"/>
    <col min="10249" max="10249" width="12.7109375" style="2" customWidth="1"/>
    <col min="10250" max="10250" width="15.140625" style="2" customWidth="1"/>
    <col min="10251" max="10251" width="15.28515625" style="2" customWidth="1"/>
    <col min="10252" max="10252" width="23.85546875" style="2" customWidth="1"/>
    <col min="10253" max="10253" width="25.5703125" style="2" customWidth="1"/>
    <col min="10254" max="10254" width="20.5703125" style="2" customWidth="1"/>
    <col min="10255" max="10255" width="16.7109375" style="2" customWidth="1"/>
    <col min="10256" max="10256" width="16" style="2"/>
    <col min="10257" max="10257" width="12.140625" style="2" customWidth="1"/>
    <col min="10258" max="10258" width="4.42578125" style="2" customWidth="1"/>
    <col min="10259" max="10259" width="34.85546875" style="2" customWidth="1"/>
    <col min="10260" max="10496" width="16" style="2"/>
    <col min="10497" max="10497" width="21.42578125" style="2" customWidth="1"/>
    <col min="10498" max="10498" width="23.5703125" style="2" customWidth="1"/>
    <col min="10499" max="10499" width="15" style="2" customWidth="1"/>
    <col min="10500" max="10500" width="15.140625" style="2" customWidth="1"/>
    <col min="10501" max="10501" width="16" style="2" customWidth="1"/>
    <col min="10502" max="10502" width="16.140625" style="2" customWidth="1"/>
    <col min="10503" max="10503" width="17.140625" style="2" customWidth="1"/>
    <col min="10504" max="10504" width="15.28515625" style="2" customWidth="1"/>
    <col min="10505" max="10505" width="12.7109375" style="2" customWidth="1"/>
    <col min="10506" max="10506" width="15.140625" style="2" customWidth="1"/>
    <col min="10507" max="10507" width="15.28515625" style="2" customWidth="1"/>
    <col min="10508" max="10508" width="23.85546875" style="2" customWidth="1"/>
    <col min="10509" max="10509" width="25.5703125" style="2" customWidth="1"/>
    <col min="10510" max="10510" width="20.5703125" style="2" customWidth="1"/>
    <col min="10511" max="10511" width="16.7109375" style="2" customWidth="1"/>
    <col min="10512" max="10512" width="16" style="2"/>
    <col min="10513" max="10513" width="12.140625" style="2" customWidth="1"/>
    <col min="10514" max="10514" width="4.42578125" style="2" customWidth="1"/>
    <col min="10515" max="10515" width="34.85546875" style="2" customWidth="1"/>
    <col min="10516" max="10752" width="16" style="2"/>
    <col min="10753" max="10753" width="21.42578125" style="2" customWidth="1"/>
    <col min="10754" max="10754" width="23.5703125" style="2" customWidth="1"/>
    <col min="10755" max="10755" width="15" style="2" customWidth="1"/>
    <col min="10756" max="10756" width="15.140625" style="2" customWidth="1"/>
    <col min="10757" max="10757" width="16" style="2" customWidth="1"/>
    <col min="10758" max="10758" width="16.140625" style="2" customWidth="1"/>
    <col min="10759" max="10759" width="17.140625" style="2" customWidth="1"/>
    <col min="10760" max="10760" width="15.28515625" style="2" customWidth="1"/>
    <col min="10761" max="10761" width="12.7109375" style="2" customWidth="1"/>
    <col min="10762" max="10762" width="15.140625" style="2" customWidth="1"/>
    <col min="10763" max="10763" width="15.28515625" style="2" customWidth="1"/>
    <col min="10764" max="10764" width="23.85546875" style="2" customWidth="1"/>
    <col min="10765" max="10765" width="25.5703125" style="2" customWidth="1"/>
    <col min="10766" max="10766" width="20.5703125" style="2" customWidth="1"/>
    <col min="10767" max="10767" width="16.7109375" style="2" customWidth="1"/>
    <col min="10768" max="10768" width="16" style="2"/>
    <col min="10769" max="10769" width="12.140625" style="2" customWidth="1"/>
    <col min="10770" max="10770" width="4.42578125" style="2" customWidth="1"/>
    <col min="10771" max="10771" width="34.85546875" style="2" customWidth="1"/>
    <col min="10772" max="11008" width="16" style="2"/>
    <col min="11009" max="11009" width="21.42578125" style="2" customWidth="1"/>
    <col min="11010" max="11010" width="23.5703125" style="2" customWidth="1"/>
    <col min="11011" max="11011" width="15" style="2" customWidth="1"/>
    <col min="11012" max="11012" width="15.140625" style="2" customWidth="1"/>
    <col min="11013" max="11013" width="16" style="2" customWidth="1"/>
    <col min="11014" max="11014" width="16.140625" style="2" customWidth="1"/>
    <col min="11015" max="11015" width="17.140625" style="2" customWidth="1"/>
    <col min="11016" max="11016" width="15.28515625" style="2" customWidth="1"/>
    <col min="11017" max="11017" width="12.7109375" style="2" customWidth="1"/>
    <col min="11018" max="11018" width="15.140625" style="2" customWidth="1"/>
    <col min="11019" max="11019" width="15.28515625" style="2" customWidth="1"/>
    <col min="11020" max="11020" width="23.85546875" style="2" customWidth="1"/>
    <col min="11021" max="11021" width="25.5703125" style="2" customWidth="1"/>
    <col min="11022" max="11022" width="20.5703125" style="2" customWidth="1"/>
    <col min="11023" max="11023" width="16.7109375" style="2" customWidth="1"/>
    <col min="11024" max="11024" width="16" style="2"/>
    <col min="11025" max="11025" width="12.140625" style="2" customWidth="1"/>
    <col min="11026" max="11026" width="4.42578125" style="2" customWidth="1"/>
    <col min="11027" max="11027" width="34.85546875" style="2" customWidth="1"/>
    <col min="11028" max="11264" width="16" style="2"/>
    <col min="11265" max="11265" width="21.42578125" style="2" customWidth="1"/>
    <col min="11266" max="11266" width="23.5703125" style="2" customWidth="1"/>
    <col min="11267" max="11267" width="15" style="2" customWidth="1"/>
    <col min="11268" max="11268" width="15.140625" style="2" customWidth="1"/>
    <col min="11269" max="11269" width="16" style="2" customWidth="1"/>
    <col min="11270" max="11270" width="16.140625" style="2" customWidth="1"/>
    <col min="11271" max="11271" width="17.140625" style="2" customWidth="1"/>
    <col min="11272" max="11272" width="15.28515625" style="2" customWidth="1"/>
    <col min="11273" max="11273" width="12.7109375" style="2" customWidth="1"/>
    <col min="11274" max="11274" width="15.140625" style="2" customWidth="1"/>
    <col min="11275" max="11275" width="15.28515625" style="2" customWidth="1"/>
    <col min="11276" max="11276" width="23.85546875" style="2" customWidth="1"/>
    <col min="11277" max="11277" width="25.5703125" style="2" customWidth="1"/>
    <col min="11278" max="11278" width="20.5703125" style="2" customWidth="1"/>
    <col min="11279" max="11279" width="16.7109375" style="2" customWidth="1"/>
    <col min="11280" max="11280" width="16" style="2"/>
    <col min="11281" max="11281" width="12.140625" style="2" customWidth="1"/>
    <col min="11282" max="11282" width="4.42578125" style="2" customWidth="1"/>
    <col min="11283" max="11283" width="34.85546875" style="2" customWidth="1"/>
    <col min="11284" max="11520" width="16" style="2"/>
    <col min="11521" max="11521" width="21.42578125" style="2" customWidth="1"/>
    <col min="11522" max="11522" width="23.5703125" style="2" customWidth="1"/>
    <col min="11523" max="11523" width="15" style="2" customWidth="1"/>
    <col min="11524" max="11524" width="15.140625" style="2" customWidth="1"/>
    <col min="11525" max="11525" width="16" style="2" customWidth="1"/>
    <col min="11526" max="11526" width="16.140625" style="2" customWidth="1"/>
    <col min="11527" max="11527" width="17.140625" style="2" customWidth="1"/>
    <col min="11528" max="11528" width="15.28515625" style="2" customWidth="1"/>
    <col min="11529" max="11529" width="12.7109375" style="2" customWidth="1"/>
    <col min="11530" max="11530" width="15.140625" style="2" customWidth="1"/>
    <col min="11531" max="11531" width="15.28515625" style="2" customWidth="1"/>
    <col min="11532" max="11532" width="23.85546875" style="2" customWidth="1"/>
    <col min="11533" max="11533" width="25.5703125" style="2" customWidth="1"/>
    <col min="11534" max="11534" width="20.5703125" style="2" customWidth="1"/>
    <col min="11535" max="11535" width="16.7109375" style="2" customWidth="1"/>
    <col min="11536" max="11536" width="16" style="2"/>
    <col min="11537" max="11537" width="12.140625" style="2" customWidth="1"/>
    <col min="11538" max="11538" width="4.42578125" style="2" customWidth="1"/>
    <col min="11539" max="11539" width="34.85546875" style="2" customWidth="1"/>
    <col min="11540" max="11776" width="16" style="2"/>
    <col min="11777" max="11777" width="21.42578125" style="2" customWidth="1"/>
    <col min="11778" max="11778" width="23.5703125" style="2" customWidth="1"/>
    <col min="11779" max="11779" width="15" style="2" customWidth="1"/>
    <col min="11780" max="11780" width="15.140625" style="2" customWidth="1"/>
    <col min="11781" max="11781" width="16" style="2" customWidth="1"/>
    <col min="11782" max="11782" width="16.140625" style="2" customWidth="1"/>
    <col min="11783" max="11783" width="17.140625" style="2" customWidth="1"/>
    <col min="11784" max="11784" width="15.28515625" style="2" customWidth="1"/>
    <col min="11785" max="11785" width="12.7109375" style="2" customWidth="1"/>
    <col min="11786" max="11786" width="15.140625" style="2" customWidth="1"/>
    <col min="11787" max="11787" width="15.28515625" style="2" customWidth="1"/>
    <col min="11788" max="11788" width="23.85546875" style="2" customWidth="1"/>
    <col min="11789" max="11789" width="25.5703125" style="2" customWidth="1"/>
    <col min="11790" max="11790" width="20.5703125" style="2" customWidth="1"/>
    <col min="11791" max="11791" width="16.7109375" style="2" customWidth="1"/>
    <col min="11792" max="11792" width="16" style="2"/>
    <col min="11793" max="11793" width="12.140625" style="2" customWidth="1"/>
    <col min="11794" max="11794" width="4.42578125" style="2" customWidth="1"/>
    <col min="11795" max="11795" width="34.85546875" style="2" customWidth="1"/>
    <col min="11796" max="12032" width="16" style="2"/>
    <col min="12033" max="12033" width="21.42578125" style="2" customWidth="1"/>
    <col min="12034" max="12034" width="23.5703125" style="2" customWidth="1"/>
    <col min="12035" max="12035" width="15" style="2" customWidth="1"/>
    <col min="12036" max="12036" width="15.140625" style="2" customWidth="1"/>
    <col min="12037" max="12037" width="16" style="2" customWidth="1"/>
    <col min="12038" max="12038" width="16.140625" style="2" customWidth="1"/>
    <col min="12039" max="12039" width="17.140625" style="2" customWidth="1"/>
    <col min="12040" max="12040" width="15.28515625" style="2" customWidth="1"/>
    <col min="12041" max="12041" width="12.7109375" style="2" customWidth="1"/>
    <col min="12042" max="12042" width="15.140625" style="2" customWidth="1"/>
    <col min="12043" max="12043" width="15.28515625" style="2" customWidth="1"/>
    <col min="12044" max="12044" width="23.85546875" style="2" customWidth="1"/>
    <col min="12045" max="12045" width="25.5703125" style="2" customWidth="1"/>
    <col min="12046" max="12046" width="20.5703125" style="2" customWidth="1"/>
    <col min="12047" max="12047" width="16.7109375" style="2" customWidth="1"/>
    <col min="12048" max="12048" width="16" style="2"/>
    <col min="12049" max="12049" width="12.140625" style="2" customWidth="1"/>
    <col min="12050" max="12050" width="4.42578125" style="2" customWidth="1"/>
    <col min="12051" max="12051" width="34.85546875" style="2" customWidth="1"/>
    <col min="12052" max="12288" width="16" style="2"/>
    <col min="12289" max="12289" width="21.42578125" style="2" customWidth="1"/>
    <col min="12290" max="12290" width="23.5703125" style="2" customWidth="1"/>
    <col min="12291" max="12291" width="15" style="2" customWidth="1"/>
    <col min="12292" max="12292" width="15.140625" style="2" customWidth="1"/>
    <col min="12293" max="12293" width="16" style="2" customWidth="1"/>
    <col min="12294" max="12294" width="16.140625" style="2" customWidth="1"/>
    <col min="12295" max="12295" width="17.140625" style="2" customWidth="1"/>
    <col min="12296" max="12296" width="15.28515625" style="2" customWidth="1"/>
    <col min="12297" max="12297" width="12.7109375" style="2" customWidth="1"/>
    <col min="12298" max="12298" width="15.140625" style="2" customWidth="1"/>
    <col min="12299" max="12299" width="15.28515625" style="2" customWidth="1"/>
    <col min="12300" max="12300" width="23.85546875" style="2" customWidth="1"/>
    <col min="12301" max="12301" width="25.5703125" style="2" customWidth="1"/>
    <col min="12302" max="12302" width="20.5703125" style="2" customWidth="1"/>
    <col min="12303" max="12303" width="16.7109375" style="2" customWidth="1"/>
    <col min="12304" max="12304" width="16" style="2"/>
    <col min="12305" max="12305" width="12.140625" style="2" customWidth="1"/>
    <col min="12306" max="12306" width="4.42578125" style="2" customWidth="1"/>
    <col min="12307" max="12307" width="34.85546875" style="2" customWidth="1"/>
    <col min="12308" max="12544" width="16" style="2"/>
    <col min="12545" max="12545" width="21.42578125" style="2" customWidth="1"/>
    <col min="12546" max="12546" width="23.5703125" style="2" customWidth="1"/>
    <col min="12547" max="12547" width="15" style="2" customWidth="1"/>
    <col min="12548" max="12548" width="15.140625" style="2" customWidth="1"/>
    <col min="12549" max="12549" width="16" style="2" customWidth="1"/>
    <col min="12550" max="12550" width="16.140625" style="2" customWidth="1"/>
    <col min="12551" max="12551" width="17.140625" style="2" customWidth="1"/>
    <col min="12552" max="12552" width="15.28515625" style="2" customWidth="1"/>
    <col min="12553" max="12553" width="12.7109375" style="2" customWidth="1"/>
    <col min="12554" max="12554" width="15.140625" style="2" customWidth="1"/>
    <col min="12555" max="12555" width="15.28515625" style="2" customWidth="1"/>
    <col min="12556" max="12556" width="23.85546875" style="2" customWidth="1"/>
    <col min="12557" max="12557" width="25.5703125" style="2" customWidth="1"/>
    <col min="12558" max="12558" width="20.5703125" style="2" customWidth="1"/>
    <col min="12559" max="12559" width="16.7109375" style="2" customWidth="1"/>
    <col min="12560" max="12560" width="16" style="2"/>
    <col min="12561" max="12561" width="12.140625" style="2" customWidth="1"/>
    <col min="12562" max="12562" width="4.42578125" style="2" customWidth="1"/>
    <col min="12563" max="12563" width="34.85546875" style="2" customWidth="1"/>
    <col min="12564" max="12800" width="16" style="2"/>
    <col min="12801" max="12801" width="21.42578125" style="2" customWidth="1"/>
    <col min="12802" max="12802" width="23.5703125" style="2" customWidth="1"/>
    <col min="12803" max="12803" width="15" style="2" customWidth="1"/>
    <col min="12804" max="12804" width="15.140625" style="2" customWidth="1"/>
    <col min="12805" max="12805" width="16" style="2" customWidth="1"/>
    <col min="12806" max="12806" width="16.140625" style="2" customWidth="1"/>
    <col min="12807" max="12807" width="17.140625" style="2" customWidth="1"/>
    <col min="12808" max="12808" width="15.28515625" style="2" customWidth="1"/>
    <col min="12809" max="12809" width="12.7109375" style="2" customWidth="1"/>
    <col min="12810" max="12810" width="15.140625" style="2" customWidth="1"/>
    <col min="12811" max="12811" width="15.28515625" style="2" customWidth="1"/>
    <col min="12812" max="12812" width="23.85546875" style="2" customWidth="1"/>
    <col min="12813" max="12813" width="25.5703125" style="2" customWidth="1"/>
    <col min="12814" max="12814" width="20.5703125" style="2" customWidth="1"/>
    <col min="12815" max="12815" width="16.7109375" style="2" customWidth="1"/>
    <col min="12816" max="12816" width="16" style="2"/>
    <col min="12817" max="12817" width="12.140625" style="2" customWidth="1"/>
    <col min="12818" max="12818" width="4.42578125" style="2" customWidth="1"/>
    <col min="12819" max="12819" width="34.85546875" style="2" customWidth="1"/>
    <col min="12820" max="13056" width="16" style="2"/>
    <col min="13057" max="13057" width="21.42578125" style="2" customWidth="1"/>
    <col min="13058" max="13058" width="23.5703125" style="2" customWidth="1"/>
    <col min="13059" max="13059" width="15" style="2" customWidth="1"/>
    <col min="13060" max="13060" width="15.140625" style="2" customWidth="1"/>
    <col min="13061" max="13061" width="16" style="2" customWidth="1"/>
    <col min="13062" max="13062" width="16.140625" style="2" customWidth="1"/>
    <col min="13063" max="13063" width="17.140625" style="2" customWidth="1"/>
    <col min="13064" max="13064" width="15.28515625" style="2" customWidth="1"/>
    <col min="13065" max="13065" width="12.7109375" style="2" customWidth="1"/>
    <col min="13066" max="13066" width="15.140625" style="2" customWidth="1"/>
    <col min="13067" max="13067" width="15.28515625" style="2" customWidth="1"/>
    <col min="13068" max="13068" width="23.85546875" style="2" customWidth="1"/>
    <col min="13069" max="13069" width="25.5703125" style="2" customWidth="1"/>
    <col min="13070" max="13070" width="20.5703125" style="2" customWidth="1"/>
    <col min="13071" max="13071" width="16.7109375" style="2" customWidth="1"/>
    <col min="13072" max="13072" width="16" style="2"/>
    <col min="13073" max="13073" width="12.140625" style="2" customWidth="1"/>
    <col min="13074" max="13074" width="4.42578125" style="2" customWidth="1"/>
    <col min="13075" max="13075" width="34.85546875" style="2" customWidth="1"/>
    <col min="13076" max="13312" width="16" style="2"/>
    <col min="13313" max="13313" width="21.42578125" style="2" customWidth="1"/>
    <col min="13314" max="13314" width="23.5703125" style="2" customWidth="1"/>
    <col min="13315" max="13315" width="15" style="2" customWidth="1"/>
    <col min="13316" max="13316" width="15.140625" style="2" customWidth="1"/>
    <col min="13317" max="13317" width="16" style="2" customWidth="1"/>
    <col min="13318" max="13318" width="16.140625" style="2" customWidth="1"/>
    <col min="13319" max="13319" width="17.140625" style="2" customWidth="1"/>
    <col min="13320" max="13320" width="15.28515625" style="2" customWidth="1"/>
    <col min="13321" max="13321" width="12.7109375" style="2" customWidth="1"/>
    <col min="13322" max="13322" width="15.140625" style="2" customWidth="1"/>
    <col min="13323" max="13323" width="15.28515625" style="2" customWidth="1"/>
    <col min="13324" max="13324" width="23.85546875" style="2" customWidth="1"/>
    <col min="13325" max="13325" width="25.5703125" style="2" customWidth="1"/>
    <col min="13326" max="13326" width="20.5703125" style="2" customWidth="1"/>
    <col min="13327" max="13327" width="16.7109375" style="2" customWidth="1"/>
    <col min="13328" max="13328" width="16" style="2"/>
    <col min="13329" max="13329" width="12.140625" style="2" customWidth="1"/>
    <col min="13330" max="13330" width="4.42578125" style="2" customWidth="1"/>
    <col min="13331" max="13331" width="34.85546875" style="2" customWidth="1"/>
    <col min="13332" max="13568" width="16" style="2"/>
    <col min="13569" max="13569" width="21.42578125" style="2" customWidth="1"/>
    <col min="13570" max="13570" width="23.5703125" style="2" customWidth="1"/>
    <col min="13571" max="13571" width="15" style="2" customWidth="1"/>
    <col min="13572" max="13572" width="15.140625" style="2" customWidth="1"/>
    <col min="13573" max="13573" width="16" style="2" customWidth="1"/>
    <col min="13574" max="13574" width="16.140625" style="2" customWidth="1"/>
    <col min="13575" max="13575" width="17.140625" style="2" customWidth="1"/>
    <col min="13576" max="13576" width="15.28515625" style="2" customWidth="1"/>
    <col min="13577" max="13577" width="12.7109375" style="2" customWidth="1"/>
    <col min="13578" max="13578" width="15.140625" style="2" customWidth="1"/>
    <col min="13579" max="13579" width="15.28515625" style="2" customWidth="1"/>
    <col min="13580" max="13580" width="23.85546875" style="2" customWidth="1"/>
    <col min="13581" max="13581" width="25.5703125" style="2" customWidth="1"/>
    <col min="13582" max="13582" width="20.5703125" style="2" customWidth="1"/>
    <col min="13583" max="13583" width="16.7109375" style="2" customWidth="1"/>
    <col min="13584" max="13584" width="16" style="2"/>
    <col min="13585" max="13585" width="12.140625" style="2" customWidth="1"/>
    <col min="13586" max="13586" width="4.42578125" style="2" customWidth="1"/>
    <col min="13587" max="13587" width="34.85546875" style="2" customWidth="1"/>
    <col min="13588" max="13824" width="16" style="2"/>
    <col min="13825" max="13825" width="21.42578125" style="2" customWidth="1"/>
    <col min="13826" max="13826" width="23.5703125" style="2" customWidth="1"/>
    <col min="13827" max="13827" width="15" style="2" customWidth="1"/>
    <col min="13828" max="13828" width="15.140625" style="2" customWidth="1"/>
    <col min="13829" max="13829" width="16" style="2" customWidth="1"/>
    <col min="13830" max="13830" width="16.140625" style="2" customWidth="1"/>
    <col min="13831" max="13831" width="17.140625" style="2" customWidth="1"/>
    <col min="13832" max="13832" width="15.28515625" style="2" customWidth="1"/>
    <col min="13833" max="13833" width="12.7109375" style="2" customWidth="1"/>
    <col min="13834" max="13834" width="15.140625" style="2" customWidth="1"/>
    <col min="13835" max="13835" width="15.28515625" style="2" customWidth="1"/>
    <col min="13836" max="13836" width="23.85546875" style="2" customWidth="1"/>
    <col min="13837" max="13837" width="25.5703125" style="2" customWidth="1"/>
    <col min="13838" max="13838" width="20.5703125" style="2" customWidth="1"/>
    <col min="13839" max="13839" width="16.7109375" style="2" customWidth="1"/>
    <col min="13840" max="13840" width="16" style="2"/>
    <col min="13841" max="13841" width="12.140625" style="2" customWidth="1"/>
    <col min="13842" max="13842" width="4.42578125" style="2" customWidth="1"/>
    <col min="13843" max="13843" width="34.85546875" style="2" customWidth="1"/>
    <col min="13844" max="14080" width="16" style="2"/>
    <col min="14081" max="14081" width="21.42578125" style="2" customWidth="1"/>
    <col min="14082" max="14082" width="23.5703125" style="2" customWidth="1"/>
    <col min="14083" max="14083" width="15" style="2" customWidth="1"/>
    <col min="14084" max="14084" width="15.140625" style="2" customWidth="1"/>
    <col min="14085" max="14085" width="16" style="2" customWidth="1"/>
    <col min="14086" max="14086" width="16.140625" style="2" customWidth="1"/>
    <col min="14087" max="14087" width="17.140625" style="2" customWidth="1"/>
    <col min="14088" max="14088" width="15.28515625" style="2" customWidth="1"/>
    <col min="14089" max="14089" width="12.7109375" style="2" customWidth="1"/>
    <col min="14090" max="14090" width="15.140625" style="2" customWidth="1"/>
    <col min="14091" max="14091" width="15.28515625" style="2" customWidth="1"/>
    <col min="14092" max="14092" width="23.85546875" style="2" customWidth="1"/>
    <col min="14093" max="14093" width="25.5703125" style="2" customWidth="1"/>
    <col min="14094" max="14094" width="20.5703125" style="2" customWidth="1"/>
    <col min="14095" max="14095" width="16.7109375" style="2" customWidth="1"/>
    <col min="14096" max="14096" width="16" style="2"/>
    <col min="14097" max="14097" width="12.140625" style="2" customWidth="1"/>
    <col min="14098" max="14098" width="4.42578125" style="2" customWidth="1"/>
    <col min="14099" max="14099" width="34.85546875" style="2" customWidth="1"/>
    <col min="14100" max="14336" width="16" style="2"/>
    <col min="14337" max="14337" width="21.42578125" style="2" customWidth="1"/>
    <col min="14338" max="14338" width="23.5703125" style="2" customWidth="1"/>
    <col min="14339" max="14339" width="15" style="2" customWidth="1"/>
    <col min="14340" max="14340" width="15.140625" style="2" customWidth="1"/>
    <col min="14341" max="14341" width="16" style="2" customWidth="1"/>
    <col min="14342" max="14342" width="16.140625" style="2" customWidth="1"/>
    <col min="14343" max="14343" width="17.140625" style="2" customWidth="1"/>
    <col min="14344" max="14344" width="15.28515625" style="2" customWidth="1"/>
    <col min="14345" max="14345" width="12.7109375" style="2" customWidth="1"/>
    <col min="14346" max="14346" width="15.140625" style="2" customWidth="1"/>
    <col min="14347" max="14347" width="15.28515625" style="2" customWidth="1"/>
    <col min="14348" max="14348" width="23.85546875" style="2" customWidth="1"/>
    <col min="14349" max="14349" width="25.5703125" style="2" customWidth="1"/>
    <col min="14350" max="14350" width="20.5703125" style="2" customWidth="1"/>
    <col min="14351" max="14351" width="16.7109375" style="2" customWidth="1"/>
    <col min="14352" max="14352" width="16" style="2"/>
    <col min="14353" max="14353" width="12.140625" style="2" customWidth="1"/>
    <col min="14354" max="14354" width="4.42578125" style="2" customWidth="1"/>
    <col min="14355" max="14355" width="34.85546875" style="2" customWidth="1"/>
    <col min="14356" max="14592" width="16" style="2"/>
    <col min="14593" max="14593" width="21.42578125" style="2" customWidth="1"/>
    <col min="14594" max="14594" width="23.5703125" style="2" customWidth="1"/>
    <col min="14595" max="14595" width="15" style="2" customWidth="1"/>
    <col min="14596" max="14596" width="15.140625" style="2" customWidth="1"/>
    <col min="14597" max="14597" width="16" style="2" customWidth="1"/>
    <col min="14598" max="14598" width="16.140625" style="2" customWidth="1"/>
    <col min="14599" max="14599" width="17.140625" style="2" customWidth="1"/>
    <col min="14600" max="14600" width="15.28515625" style="2" customWidth="1"/>
    <col min="14601" max="14601" width="12.7109375" style="2" customWidth="1"/>
    <col min="14602" max="14602" width="15.140625" style="2" customWidth="1"/>
    <col min="14603" max="14603" width="15.28515625" style="2" customWidth="1"/>
    <col min="14604" max="14604" width="23.85546875" style="2" customWidth="1"/>
    <col min="14605" max="14605" width="25.5703125" style="2" customWidth="1"/>
    <col min="14606" max="14606" width="20.5703125" style="2" customWidth="1"/>
    <col min="14607" max="14607" width="16.7109375" style="2" customWidth="1"/>
    <col min="14608" max="14608" width="16" style="2"/>
    <col min="14609" max="14609" width="12.140625" style="2" customWidth="1"/>
    <col min="14610" max="14610" width="4.42578125" style="2" customWidth="1"/>
    <col min="14611" max="14611" width="34.85546875" style="2" customWidth="1"/>
    <col min="14612" max="14848" width="16" style="2"/>
    <col min="14849" max="14849" width="21.42578125" style="2" customWidth="1"/>
    <col min="14850" max="14850" width="23.5703125" style="2" customWidth="1"/>
    <col min="14851" max="14851" width="15" style="2" customWidth="1"/>
    <col min="14852" max="14852" width="15.140625" style="2" customWidth="1"/>
    <col min="14853" max="14853" width="16" style="2" customWidth="1"/>
    <col min="14854" max="14854" width="16.140625" style="2" customWidth="1"/>
    <col min="14855" max="14855" width="17.140625" style="2" customWidth="1"/>
    <col min="14856" max="14856" width="15.28515625" style="2" customWidth="1"/>
    <col min="14857" max="14857" width="12.7109375" style="2" customWidth="1"/>
    <col min="14858" max="14858" width="15.140625" style="2" customWidth="1"/>
    <col min="14859" max="14859" width="15.28515625" style="2" customWidth="1"/>
    <col min="14860" max="14860" width="23.85546875" style="2" customWidth="1"/>
    <col min="14861" max="14861" width="25.5703125" style="2" customWidth="1"/>
    <col min="14862" max="14862" width="20.5703125" style="2" customWidth="1"/>
    <col min="14863" max="14863" width="16.7109375" style="2" customWidth="1"/>
    <col min="14864" max="14864" width="16" style="2"/>
    <col min="14865" max="14865" width="12.140625" style="2" customWidth="1"/>
    <col min="14866" max="14866" width="4.42578125" style="2" customWidth="1"/>
    <col min="14867" max="14867" width="34.85546875" style="2" customWidth="1"/>
    <col min="14868" max="15104" width="16" style="2"/>
    <col min="15105" max="15105" width="21.42578125" style="2" customWidth="1"/>
    <col min="15106" max="15106" width="23.5703125" style="2" customWidth="1"/>
    <col min="15107" max="15107" width="15" style="2" customWidth="1"/>
    <col min="15108" max="15108" width="15.140625" style="2" customWidth="1"/>
    <col min="15109" max="15109" width="16" style="2" customWidth="1"/>
    <col min="15110" max="15110" width="16.140625" style="2" customWidth="1"/>
    <col min="15111" max="15111" width="17.140625" style="2" customWidth="1"/>
    <col min="15112" max="15112" width="15.28515625" style="2" customWidth="1"/>
    <col min="15113" max="15113" width="12.7109375" style="2" customWidth="1"/>
    <col min="15114" max="15114" width="15.140625" style="2" customWidth="1"/>
    <col min="15115" max="15115" width="15.28515625" style="2" customWidth="1"/>
    <col min="15116" max="15116" width="23.85546875" style="2" customWidth="1"/>
    <col min="15117" max="15117" width="25.5703125" style="2" customWidth="1"/>
    <col min="15118" max="15118" width="20.5703125" style="2" customWidth="1"/>
    <col min="15119" max="15119" width="16.7109375" style="2" customWidth="1"/>
    <col min="15120" max="15120" width="16" style="2"/>
    <col min="15121" max="15121" width="12.140625" style="2" customWidth="1"/>
    <col min="15122" max="15122" width="4.42578125" style="2" customWidth="1"/>
    <col min="15123" max="15123" width="34.85546875" style="2" customWidth="1"/>
    <col min="15124" max="15360" width="16" style="2"/>
    <col min="15361" max="15361" width="21.42578125" style="2" customWidth="1"/>
    <col min="15362" max="15362" width="23.5703125" style="2" customWidth="1"/>
    <col min="15363" max="15363" width="15" style="2" customWidth="1"/>
    <col min="15364" max="15364" width="15.140625" style="2" customWidth="1"/>
    <col min="15365" max="15365" width="16" style="2" customWidth="1"/>
    <col min="15366" max="15366" width="16.140625" style="2" customWidth="1"/>
    <col min="15367" max="15367" width="17.140625" style="2" customWidth="1"/>
    <col min="15368" max="15368" width="15.28515625" style="2" customWidth="1"/>
    <col min="15369" max="15369" width="12.7109375" style="2" customWidth="1"/>
    <col min="15370" max="15370" width="15.140625" style="2" customWidth="1"/>
    <col min="15371" max="15371" width="15.28515625" style="2" customWidth="1"/>
    <col min="15372" max="15372" width="23.85546875" style="2" customWidth="1"/>
    <col min="15373" max="15373" width="25.5703125" style="2" customWidth="1"/>
    <col min="15374" max="15374" width="20.5703125" style="2" customWidth="1"/>
    <col min="15375" max="15375" width="16.7109375" style="2" customWidth="1"/>
    <col min="15376" max="15376" width="16" style="2"/>
    <col min="15377" max="15377" width="12.140625" style="2" customWidth="1"/>
    <col min="15378" max="15378" width="4.42578125" style="2" customWidth="1"/>
    <col min="15379" max="15379" width="34.85546875" style="2" customWidth="1"/>
    <col min="15380" max="15616" width="16" style="2"/>
    <col min="15617" max="15617" width="21.42578125" style="2" customWidth="1"/>
    <col min="15618" max="15618" width="23.5703125" style="2" customWidth="1"/>
    <col min="15619" max="15619" width="15" style="2" customWidth="1"/>
    <col min="15620" max="15620" width="15.140625" style="2" customWidth="1"/>
    <col min="15621" max="15621" width="16" style="2" customWidth="1"/>
    <col min="15622" max="15622" width="16.140625" style="2" customWidth="1"/>
    <col min="15623" max="15623" width="17.140625" style="2" customWidth="1"/>
    <col min="15624" max="15624" width="15.28515625" style="2" customWidth="1"/>
    <col min="15625" max="15625" width="12.7109375" style="2" customWidth="1"/>
    <col min="15626" max="15626" width="15.140625" style="2" customWidth="1"/>
    <col min="15627" max="15627" width="15.28515625" style="2" customWidth="1"/>
    <col min="15628" max="15628" width="23.85546875" style="2" customWidth="1"/>
    <col min="15629" max="15629" width="25.5703125" style="2" customWidth="1"/>
    <col min="15630" max="15630" width="20.5703125" style="2" customWidth="1"/>
    <col min="15631" max="15631" width="16.7109375" style="2" customWidth="1"/>
    <col min="15632" max="15632" width="16" style="2"/>
    <col min="15633" max="15633" width="12.140625" style="2" customWidth="1"/>
    <col min="15634" max="15634" width="4.42578125" style="2" customWidth="1"/>
    <col min="15635" max="15635" width="34.85546875" style="2" customWidth="1"/>
    <col min="15636" max="15872" width="16" style="2"/>
    <col min="15873" max="15873" width="21.42578125" style="2" customWidth="1"/>
    <col min="15874" max="15874" width="23.5703125" style="2" customWidth="1"/>
    <col min="15875" max="15875" width="15" style="2" customWidth="1"/>
    <col min="15876" max="15876" width="15.140625" style="2" customWidth="1"/>
    <col min="15877" max="15877" width="16" style="2" customWidth="1"/>
    <col min="15878" max="15878" width="16.140625" style="2" customWidth="1"/>
    <col min="15879" max="15879" width="17.140625" style="2" customWidth="1"/>
    <col min="15880" max="15880" width="15.28515625" style="2" customWidth="1"/>
    <col min="15881" max="15881" width="12.7109375" style="2" customWidth="1"/>
    <col min="15882" max="15882" width="15.140625" style="2" customWidth="1"/>
    <col min="15883" max="15883" width="15.28515625" style="2" customWidth="1"/>
    <col min="15884" max="15884" width="23.85546875" style="2" customWidth="1"/>
    <col min="15885" max="15885" width="25.5703125" style="2" customWidth="1"/>
    <col min="15886" max="15886" width="20.5703125" style="2" customWidth="1"/>
    <col min="15887" max="15887" width="16.7109375" style="2" customWidth="1"/>
    <col min="15888" max="15888" width="16" style="2"/>
    <col min="15889" max="15889" width="12.140625" style="2" customWidth="1"/>
    <col min="15890" max="15890" width="4.42578125" style="2" customWidth="1"/>
    <col min="15891" max="15891" width="34.85546875" style="2" customWidth="1"/>
    <col min="15892" max="16128" width="16" style="2"/>
    <col min="16129" max="16129" width="21.42578125" style="2" customWidth="1"/>
    <col min="16130" max="16130" width="23.5703125" style="2" customWidth="1"/>
    <col min="16131" max="16131" width="15" style="2" customWidth="1"/>
    <col min="16132" max="16132" width="15.140625" style="2" customWidth="1"/>
    <col min="16133" max="16133" width="16" style="2" customWidth="1"/>
    <col min="16134" max="16134" width="16.140625" style="2" customWidth="1"/>
    <col min="16135" max="16135" width="17.140625" style="2" customWidth="1"/>
    <col min="16136" max="16136" width="15.28515625" style="2" customWidth="1"/>
    <col min="16137" max="16137" width="12.7109375" style="2" customWidth="1"/>
    <col min="16138" max="16138" width="15.140625" style="2" customWidth="1"/>
    <col min="16139" max="16139" width="15.28515625" style="2" customWidth="1"/>
    <col min="16140" max="16140" width="23.85546875" style="2" customWidth="1"/>
    <col min="16141" max="16141" width="25.5703125" style="2" customWidth="1"/>
    <col min="16142" max="16142" width="20.5703125" style="2" customWidth="1"/>
    <col min="16143" max="16143" width="16.7109375" style="2" customWidth="1"/>
    <col min="16144" max="16144" width="16" style="2"/>
    <col min="16145" max="16145" width="12.140625" style="2" customWidth="1"/>
    <col min="16146" max="16146" width="4.42578125" style="2" customWidth="1"/>
    <col min="16147" max="16147" width="34.85546875" style="2" customWidth="1"/>
    <col min="16148" max="16384" width="16" style="2"/>
  </cols>
  <sheetData>
    <row r="1" spans="1:28" ht="15">
      <c r="S1" s="39"/>
      <c r="T1" s="1"/>
      <c r="U1" s="1"/>
      <c r="V1" s="1"/>
      <c r="W1" s="1"/>
      <c r="X1" s="1"/>
      <c r="Y1" s="1"/>
      <c r="Z1" s="1"/>
      <c r="AA1" s="1"/>
      <c r="AB1" s="1"/>
    </row>
    <row r="2" spans="1:28" ht="20.25" customHeight="1">
      <c r="A2" s="263" t="s">
        <v>238</v>
      </c>
      <c r="B2" s="264" t="str">
        <f>A4</f>
        <v>Mort</v>
      </c>
      <c r="C2" s="265"/>
      <c r="D2" s="266"/>
      <c r="E2" s="266"/>
      <c r="F2" s="266"/>
      <c r="G2" s="266"/>
      <c r="O2" s="267"/>
      <c r="P2" s="268"/>
      <c r="Q2" s="10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5.5">
      <c r="A3" s="71" t="s">
        <v>155</v>
      </c>
      <c r="B3" s="405" t="s">
        <v>156</v>
      </c>
      <c r="C3" s="405"/>
      <c r="D3" s="405"/>
      <c r="E3" s="405" t="s">
        <v>157</v>
      </c>
      <c r="F3" s="405"/>
      <c r="G3" s="405"/>
      <c r="H3" s="269" t="s">
        <v>128</v>
      </c>
      <c r="I3" s="406" t="s">
        <v>129</v>
      </c>
      <c r="J3" s="407"/>
      <c r="K3" s="408"/>
      <c r="L3" s="406" t="s">
        <v>130</v>
      </c>
      <c r="M3" s="408"/>
      <c r="N3" s="270" t="s">
        <v>131</v>
      </c>
      <c r="O3" s="268"/>
      <c r="T3" s="1"/>
      <c r="U3" s="1"/>
      <c r="W3" s="1"/>
      <c r="X3" s="1"/>
      <c r="Y3" s="1"/>
      <c r="Z3" s="1"/>
      <c r="AA3" s="1"/>
      <c r="AB3" s="1"/>
    </row>
    <row r="4" spans="1:28" ht="25.5">
      <c r="A4" s="72" t="s">
        <v>207</v>
      </c>
      <c r="B4" s="73" t="s">
        <v>158</v>
      </c>
      <c r="C4" s="73" t="s">
        <v>159</v>
      </c>
      <c r="D4" s="73" t="s">
        <v>1</v>
      </c>
      <c r="E4" s="73" t="s">
        <v>158</v>
      </c>
      <c r="F4" s="73" t="s">
        <v>159</v>
      </c>
      <c r="G4" s="73" t="s">
        <v>1</v>
      </c>
      <c r="H4" s="271" t="s">
        <v>133</v>
      </c>
      <c r="I4" s="272" t="s">
        <v>239</v>
      </c>
      <c r="J4" s="273" t="s">
        <v>240</v>
      </c>
      <c r="K4" s="272" t="s">
        <v>1</v>
      </c>
      <c r="L4" s="274" t="s">
        <v>239</v>
      </c>
      <c r="M4" s="275" t="s">
        <v>241</v>
      </c>
      <c r="N4" s="276" t="s">
        <v>133</v>
      </c>
      <c r="O4" s="268"/>
      <c r="P4" s="2" t="s">
        <v>134</v>
      </c>
      <c r="Q4" s="2" t="s">
        <v>134</v>
      </c>
      <c r="T4" s="1"/>
      <c r="U4" s="1"/>
      <c r="W4" s="1"/>
      <c r="X4" s="1"/>
      <c r="Y4" s="1"/>
      <c r="Z4" s="1"/>
      <c r="AA4" s="1"/>
      <c r="AB4" s="1"/>
    </row>
    <row r="5" spans="1:28">
      <c r="A5" s="106" t="s">
        <v>3</v>
      </c>
      <c r="B5" s="74">
        <v>257</v>
      </c>
      <c r="C5" s="75">
        <f>D5-B5</f>
        <v>4871</v>
      </c>
      <c r="D5" s="76">
        <v>5128</v>
      </c>
      <c r="E5" s="74">
        <v>203</v>
      </c>
      <c r="F5" s="75">
        <f>G5-E5</f>
        <v>4920</v>
      </c>
      <c r="G5" s="76">
        <v>5123</v>
      </c>
      <c r="H5" s="278">
        <v>3.8</v>
      </c>
      <c r="I5" s="279">
        <f t="shared" ref="I5:I9" si="0">D5*H5</f>
        <v>19486.399999999998</v>
      </c>
      <c r="J5" s="279">
        <f t="shared" ref="J5:J9" si="1">G5*H5</f>
        <v>19467.399999999998</v>
      </c>
      <c r="K5" s="279">
        <f>I5+J5</f>
        <v>38953.799999999996</v>
      </c>
      <c r="L5" s="280">
        <f t="shared" ref="L5:L10" si="2">B5/I5</f>
        <v>1.318868544215453E-2</v>
      </c>
      <c r="M5" s="280">
        <f t="shared" ref="M5:M10" si="3">E5/J5</f>
        <v>1.042768936786628E-2</v>
      </c>
      <c r="N5" s="281">
        <v>62</v>
      </c>
      <c r="O5" s="282">
        <f>N5*(D5+G5)</f>
        <v>635562</v>
      </c>
      <c r="P5" s="283" t="str">
        <f t="shared" ref="P5:P10" si="4">CONCATENATE(B5," ",$P$4," ",D5)</f>
        <v>257 / 5128</v>
      </c>
      <c r="Q5" s="283" t="str">
        <f t="shared" ref="Q5:Q10" si="5">CONCATENATE(E5," ",$Q$4," ",G5)</f>
        <v>203 / 5123</v>
      </c>
      <c r="T5" s="1"/>
      <c r="U5" s="1"/>
      <c r="W5" s="1"/>
      <c r="X5" s="1"/>
      <c r="Y5" s="1"/>
      <c r="Z5" s="1"/>
      <c r="AA5" s="1"/>
      <c r="AB5" s="1"/>
    </row>
    <row r="6" spans="1:28">
      <c r="A6" s="106" t="s">
        <v>4</v>
      </c>
      <c r="B6" s="74">
        <v>498</v>
      </c>
      <c r="C6" s="75">
        <f t="shared" ref="C6:C8" si="6">D6-B6</f>
        <v>5073</v>
      </c>
      <c r="D6" s="76">
        <v>5571</v>
      </c>
      <c r="E6" s="74">
        <v>533</v>
      </c>
      <c r="F6" s="75">
        <f t="shared" ref="F6:F9" si="7">G6-E6</f>
        <v>5036</v>
      </c>
      <c r="G6" s="76">
        <v>5569</v>
      </c>
      <c r="H6" s="278">
        <v>5</v>
      </c>
      <c r="I6" s="279">
        <f t="shared" si="0"/>
        <v>27855</v>
      </c>
      <c r="J6" s="279">
        <f t="shared" si="1"/>
        <v>27845</v>
      </c>
      <c r="K6" s="279">
        <f t="shared" ref="K6:K9" si="8">I6+J6</f>
        <v>55700</v>
      </c>
      <c r="L6" s="280">
        <f t="shared" si="2"/>
        <v>1.7878298330640818E-2</v>
      </c>
      <c r="M6" s="280">
        <f t="shared" si="3"/>
        <v>1.9141677141318009E-2</v>
      </c>
      <c r="N6" s="281">
        <v>66</v>
      </c>
      <c r="O6" s="282">
        <f t="shared" ref="O6:O9" si="9">N6*(D6+G6)</f>
        <v>735240</v>
      </c>
      <c r="P6" s="283" t="str">
        <f t="shared" si="4"/>
        <v>498 / 5571</v>
      </c>
      <c r="Q6" s="283" t="str">
        <f t="shared" si="5"/>
        <v>533 / 5569</v>
      </c>
      <c r="T6" s="1"/>
      <c r="U6" s="1"/>
      <c r="W6" s="1"/>
      <c r="X6" s="1"/>
      <c r="Y6" s="1"/>
      <c r="Z6" s="1"/>
      <c r="AA6" s="1"/>
      <c r="AB6" s="1"/>
    </row>
    <row r="7" spans="1:28">
      <c r="A7" s="106" t="s">
        <v>259</v>
      </c>
      <c r="B7" s="74">
        <v>177</v>
      </c>
      <c r="C7" s="75">
        <f t="shared" si="6"/>
        <v>2428</v>
      </c>
      <c r="D7" s="76">
        <v>2605</v>
      </c>
      <c r="E7" s="74">
        <v>186</v>
      </c>
      <c r="F7" s="75">
        <f t="shared" si="7"/>
        <v>2447</v>
      </c>
      <c r="G7" s="76">
        <v>2633</v>
      </c>
      <c r="H7" s="278">
        <v>2.8</v>
      </c>
      <c r="I7" s="279">
        <f t="shared" si="0"/>
        <v>7293.9999999999991</v>
      </c>
      <c r="J7" s="279">
        <f t="shared" si="1"/>
        <v>7372.4</v>
      </c>
      <c r="K7" s="279">
        <f t="shared" si="8"/>
        <v>14666.399999999998</v>
      </c>
      <c r="L7" s="280">
        <f t="shared" si="2"/>
        <v>2.4266520427748836E-2</v>
      </c>
      <c r="M7" s="280">
        <f t="shared" si="3"/>
        <v>2.5229233356844447E-2</v>
      </c>
      <c r="N7" s="281">
        <v>62</v>
      </c>
      <c r="O7" s="282">
        <f t="shared" si="9"/>
        <v>324756</v>
      </c>
      <c r="P7" s="283" t="str">
        <f t="shared" si="4"/>
        <v>177 / 2605</v>
      </c>
      <c r="Q7" s="283" t="str">
        <f t="shared" si="5"/>
        <v>186 / 2633</v>
      </c>
      <c r="T7" s="1"/>
      <c r="U7" s="1"/>
      <c r="W7" s="1"/>
      <c r="X7" s="1"/>
      <c r="Y7" s="1"/>
      <c r="Z7" s="1"/>
      <c r="AA7" s="1"/>
      <c r="AB7" s="1"/>
    </row>
    <row r="8" spans="1:28">
      <c r="A8" s="107" t="s">
        <v>5</v>
      </c>
      <c r="B8" s="74">
        <v>539</v>
      </c>
      <c r="C8" s="75">
        <f t="shared" si="6"/>
        <v>2532</v>
      </c>
      <c r="D8" s="76">
        <v>3071</v>
      </c>
      <c r="E8" s="74">
        <v>302</v>
      </c>
      <c r="F8" s="75">
        <f t="shared" si="7"/>
        <v>1247</v>
      </c>
      <c r="G8" s="76">
        <v>1549</v>
      </c>
      <c r="H8" s="278">
        <v>10</v>
      </c>
      <c r="I8" s="279">
        <f t="shared" si="0"/>
        <v>30710</v>
      </c>
      <c r="J8" s="279">
        <f t="shared" si="1"/>
        <v>15490</v>
      </c>
      <c r="K8" s="279">
        <f t="shared" si="8"/>
        <v>46200</v>
      </c>
      <c r="L8" s="280">
        <f t="shared" si="2"/>
        <v>1.7551286225985022E-2</v>
      </c>
      <c r="M8" s="280">
        <f t="shared" si="3"/>
        <v>1.9496449322143318E-2</v>
      </c>
      <c r="N8" s="281">
        <v>53</v>
      </c>
      <c r="O8" s="282">
        <f t="shared" si="9"/>
        <v>244860</v>
      </c>
      <c r="P8" s="283" t="str">
        <f t="shared" si="4"/>
        <v>539 / 3071</v>
      </c>
      <c r="Q8" s="283" t="str">
        <f t="shared" si="5"/>
        <v>302 / 1549</v>
      </c>
      <c r="T8" s="1"/>
      <c r="U8" s="1"/>
      <c r="W8" s="1"/>
      <c r="X8" s="1"/>
      <c r="Y8" s="1"/>
      <c r="Z8" s="1"/>
      <c r="AA8" s="1"/>
      <c r="AB8" s="1"/>
    </row>
    <row r="9" spans="1:28">
      <c r="A9" s="107" t="s">
        <v>6</v>
      </c>
      <c r="B9" s="74">
        <v>102</v>
      </c>
      <c r="C9" s="75">
        <v>892</v>
      </c>
      <c r="D9" s="76">
        <v>892</v>
      </c>
      <c r="E9" s="74">
        <v>95</v>
      </c>
      <c r="F9" s="75">
        <f t="shared" si="7"/>
        <v>804</v>
      </c>
      <c r="G9" s="76">
        <v>899</v>
      </c>
      <c r="H9" s="278">
        <v>5.6</v>
      </c>
      <c r="I9" s="279">
        <f t="shared" si="0"/>
        <v>4995.2</v>
      </c>
      <c r="J9" s="279">
        <f t="shared" si="1"/>
        <v>5034.3999999999996</v>
      </c>
      <c r="K9" s="279">
        <f t="shared" si="8"/>
        <v>10029.599999999999</v>
      </c>
      <c r="L9" s="280">
        <f t="shared" si="2"/>
        <v>2.0419602818705959E-2</v>
      </c>
      <c r="M9" s="280">
        <f t="shared" si="3"/>
        <v>1.8870173208326714E-2</v>
      </c>
      <c r="N9" s="281">
        <v>60</v>
      </c>
      <c r="O9" s="282">
        <f t="shared" si="9"/>
        <v>107460</v>
      </c>
      <c r="P9" s="283" t="str">
        <f t="shared" si="4"/>
        <v>102 / 892</v>
      </c>
      <c r="Q9" s="283" t="str">
        <f t="shared" si="5"/>
        <v>95 / 899</v>
      </c>
      <c r="T9" s="1"/>
      <c r="U9" s="1"/>
      <c r="W9" s="1"/>
      <c r="X9" s="1"/>
      <c r="Y9" s="1"/>
      <c r="Z9" s="1"/>
      <c r="AA9" s="1"/>
      <c r="AB9" s="1"/>
    </row>
    <row r="10" spans="1:28">
      <c r="A10" s="77">
        <f>COUNT(B5:B9)</f>
        <v>5</v>
      </c>
      <c r="B10" s="359">
        <f t="shared" ref="B10:G10" si="10">SUM(B5:B9)</f>
        <v>1573</v>
      </c>
      <c r="C10" s="359">
        <f t="shared" si="10"/>
        <v>15796</v>
      </c>
      <c r="D10" s="359">
        <f t="shared" si="10"/>
        <v>17267</v>
      </c>
      <c r="E10" s="359">
        <f t="shared" si="10"/>
        <v>1319</v>
      </c>
      <c r="F10" s="359">
        <f t="shared" si="10"/>
        <v>14454</v>
      </c>
      <c r="G10" s="359">
        <f t="shared" si="10"/>
        <v>15773</v>
      </c>
      <c r="H10" s="284">
        <f>K10/(D10+G10)</f>
        <v>5.0105871670702173</v>
      </c>
      <c r="I10" s="285">
        <f>SUM(I5:I9)</f>
        <v>90340.599999999991</v>
      </c>
      <c r="J10" s="285">
        <f>SUM(J5:J9)</f>
        <v>75209.199999999983</v>
      </c>
      <c r="K10" s="285">
        <f>SUM(K5:K9)</f>
        <v>165549.79999999999</v>
      </c>
      <c r="L10" s="286">
        <f t="shared" si="2"/>
        <v>1.7411883472104459E-2</v>
      </c>
      <c r="M10" s="286">
        <f t="shared" si="3"/>
        <v>1.7537748041463016E-2</v>
      </c>
      <c r="N10" s="287">
        <f>O10/(D10+G10)</f>
        <v>61.981779661016951</v>
      </c>
      <c r="O10" s="288">
        <f>SUM(O5:O9)</f>
        <v>2047878</v>
      </c>
      <c r="P10" s="289" t="str">
        <f t="shared" si="4"/>
        <v>1573 / 17267</v>
      </c>
      <c r="Q10" s="289" t="str">
        <f t="shared" si="5"/>
        <v>1319 / 15773</v>
      </c>
      <c r="T10" s="1"/>
      <c r="U10" s="1"/>
      <c r="W10" s="1"/>
      <c r="X10" s="1"/>
      <c r="Y10" s="1"/>
      <c r="Z10" s="1"/>
      <c r="AA10" s="1"/>
      <c r="AB10" s="1"/>
    </row>
    <row r="11" spans="1:28" ht="15.75" thickBot="1">
      <c r="B11" s="2"/>
      <c r="C11" s="2"/>
      <c r="E11" s="4"/>
      <c r="F11" s="3"/>
      <c r="S11" s="39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thickBot="1">
      <c r="A12" s="1"/>
      <c r="B12" s="83" t="s">
        <v>117</v>
      </c>
      <c r="C12" s="290">
        <v>8.7874415275865425E-2</v>
      </c>
      <c r="D12" s="409" t="s">
        <v>118</v>
      </c>
      <c r="E12" s="410"/>
      <c r="F12" s="411"/>
      <c r="S12" s="39"/>
      <c r="T12" s="1"/>
      <c r="U12" s="1"/>
      <c r="V12" s="1"/>
      <c r="W12" s="1"/>
      <c r="X12" s="1"/>
      <c r="Y12" s="1"/>
      <c r="Z12" s="1"/>
      <c r="AA12" s="1"/>
      <c r="AB12" s="1"/>
    </row>
    <row r="13" spans="1:28" ht="26.25" thickBot="1">
      <c r="A13" s="291">
        <f>I40</f>
        <v>1.7537748041463016E-2</v>
      </c>
      <c r="B13" s="292" t="s">
        <v>160</v>
      </c>
      <c r="C13" s="23"/>
      <c r="D13" s="21" t="s">
        <v>119</v>
      </c>
      <c r="E13" s="22" t="s">
        <v>161</v>
      </c>
      <c r="F13" s="21" t="s">
        <v>162</v>
      </c>
      <c r="S13" s="39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thickBot="1">
      <c r="A14" s="293">
        <f>E40</f>
        <v>5.0105871670702173</v>
      </c>
      <c r="B14" s="294" t="s">
        <v>163</v>
      </c>
      <c r="C14" s="23"/>
      <c r="D14" s="295">
        <v>1.01</v>
      </c>
      <c r="E14" s="296">
        <v>0.89</v>
      </c>
      <c r="F14" s="297">
        <v>1.1299999999999999</v>
      </c>
      <c r="G14" s="23" t="s">
        <v>27</v>
      </c>
      <c r="S14" s="39"/>
      <c r="T14" s="1"/>
      <c r="U14" s="1"/>
      <c r="V14" s="1"/>
      <c r="W14" s="1"/>
      <c r="X14" s="1"/>
      <c r="Y14" s="1"/>
      <c r="Z14" s="1"/>
      <c r="AA14" s="1"/>
      <c r="AB14" s="1"/>
    </row>
    <row r="15" spans="1:28" ht="15" hidden="1">
      <c r="A15" s="85"/>
      <c r="B15" s="84"/>
      <c r="C15" s="1"/>
      <c r="D15" s="1"/>
      <c r="E15" s="1"/>
      <c r="F15" s="1"/>
      <c r="G15" s="1"/>
      <c r="S15" s="39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hidden="1" thickBot="1">
      <c r="A16" s="85"/>
      <c r="B16" s="86"/>
      <c r="C16" s="24"/>
      <c r="D16" s="87">
        <f>C12*D14</f>
        <v>8.8753159428624079E-2</v>
      </c>
      <c r="E16" s="88">
        <f>C12*E14</f>
        <v>7.8208229595520234E-2</v>
      </c>
      <c r="F16" s="25">
        <f>C12*F14</f>
        <v>9.9298089261727923E-2</v>
      </c>
      <c r="G16" s="1"/>
      <c r="S16" s="39"/>
      <c r="T16" s="1"/>
      <c r="U16" s="1"/>
      <c r="V16" s="1"/>
      <c r="W16" s="1"/>
      <c r="X16" s="1"/>
      <c r="Y16" s="1"/>
      <c r="Z16" s="1"/>
      <c r="AA16" s="1"/>
      <c r="AB16" s="1"/>
    </row>
    <row r="17" spans="1:28" ht="15" hidden="1">
      <c r="A17" s="85"/>
      <c r="B17" s="84"/>
      <c r="C17" s="1"/>
      <c r="D17" s="1"/>
      <c r="E17" s="1"/>
      <c r="F17" s="1"/>
      <c r="G17" s="1"/>
      <c r="S17" s="39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hidden="1" thickBot="1">
      <c r="A18" s="85"/>
      <c r="B18" s="89"/>
      <c r="C18" s="90" t="s">
        <v>9</v>
      </c>
      <c r="D18" s="91">
        <f>C12-D16</f>
        <v>-8.787441527586537E-4</v>
      </c>
      <c r="E18" s="92">
        <f>C12-F16</f>
        <v>-1.1423673985862498E-2</v>
      </c>
      <c r="F18" s="93">
        <f>C12-E16</f>
        <v>9.6661856803451907E-3</v>
      </c>
      <c r="G18" s="1"/>
      <c r="S18" s="39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hidden="1" thickBot="1">
      <c r="A19" s="85"/>
      <c r="B19" s="94"/>
      <c r="C19" s="95" t="s">
        <v>10</v>
      </c>
      <c r="D19" s="96">
        <f>1/D18</f>
        <v>-1137.987657568686</v>
      </c>
      <c r="E19" s="97">
        <f>1/F18</f>
        <v>103.4534234153351</v>
      </c>
      <c r="F19" s="98">
        <f>1/E18</f>
        <v>-87.537512120668168</v>
      </c>
      <c r="G19" s="1"/>
      <c r="S19" s="39"/>
      <c r="T19" s="1"/>
      <c r="U19" s="1"/>
      <c r="V19" s="1"/>
      <c r="W19" s="1"/>
      <c r="X19" s="1"/>
      <c r="Y19" s="1"/>
      <c r="Z19" s="1"/>
      <c r="AA19" s="1"/>
      <c r="AB19" s="1"/>
    </row>
    <row r="20" spans="1:28" ht="15" hidden="1">
      <c r="A20" s="85"/>
      <c r="B20" s="84"/>
      <c r="C20" s="23"/>
      <c r="D20" s="23"/>
      <c r="E20" s="23"/>
      <c r="F20" s="23"/>
      <c r="G20" s="1"/>
      <c r="S20" s="39"/>
      <c r="T20" s="1"/>
      <c r="U20" s="1"/>
      <c r="V20" s="1"/>
      <c r="W20" s="1"/>
      <c r="X20" s="1"/>
      <c r="Y20" s="1"/>
      <c r="Z20" s="1"/>
      <c r="AA20" s="1"/>
      <c r="AB20" s="1"/>
    </row>
    <row r="21" spans="1:28" ht="15" hidden="1">
      <c r="A21" s="85"/>
      <c r="B21" s="99" t="s">
        <v>120</v>
      </c>
      <c r="C21" s="27"/>
      <c r="D21" s="27"/>
      <c r="E21" s="28">
        <f>ROUND(D14,2)</f>
        <v>1.01</v>
      </c>
      <c r="F21" s="29">
        <f>ROUND(D18,4)</f>
        <v>-8.9999999999999998E-4</v>
      </c>
      <c r="G21" s="30">
        <f>ROUND(D19,0)</f>
        <v>-1138</v>
      </c>
      <c r="S21" s="39"/>
      <c r="T21" s="1"/>
      <c r="U21" s="1"/>
      <c r="V21" s="1"/>
      <c r="W21" s="1"/>
      <c r="X21" s="1"/>
      <c r="Y21" s="1"/>
      <c r="Z21" s="1"/>
      <c r="AA21" s="1"/>
      <c r="AB21" s="1"/>
    </row>
    <row r="22" spans="1:28" ht="15" hidden="1">
      <c r="A22" s="85"/>
      <c r="B22" s="100" t="s">
        <v>121</v>
      </c>
      <c r="C22" s="101">
        <f>ROUND(D16,4)</f>
        <v>8.8800000000000004E-2</v>
      </c>
      <c r="D22" s="31">
        <f>ROUND(C12,4)</f>
        <v>8.7900000000000006E-2</v>
      </c>
      <c r="E22" s="32">
        <f>ROUND(E14,2)</f>
        <v>0.89</v>
      </c>
      <c r="F22" s="33">
        <f>ROUND(E18,4)</f>
        <v>-1.14E-2</v>
      </c>
      <c r="G22" s="34">
        <f>ROUND(E19,0)</f>
        <v>103</v>
      </c>
      <c r="S22" s="39"/>
      <c r="T22" s="1"/>
      <c r="U22" s="1"/>
      <c r="V22" s="1"/>
      <c r="W22" s="1"/>
      <c r="X22" s="1"/>
      <c r="Y22" s="1"/>
      <c r="Z22" s="1"/>
      <c r="AA22" s="1"/>
      <c r="AB22" s="1"/>
    </row>
    <row r="23" spans="1:28" ht="15" hidden="1">
      <c r="A23" s="85"/>
      <c r="B23" s="100" t="s">
        <v>122</v>
      </c>
      <c r="C23" s="35"/>
      <c r="D23" s="35"/>
      <c r="E23" s="32">
        <f>ROUND(F14,2)</f>
        <v>1.1299999999999999</v>
      </c>
      <c r="F23" s="33">
        <f>ROUND(F18,4)</f>
        <v>9.7000000000000003E-3</v>
      </c>
      <c r="G23" s="34">
        <f>ROUND(F19,0)</f>
        <v>-88</v>
      </c>
      <c r="S23" s="39"/>
      <c r="T23" s="1"/>
      <c r="U23" s="1"/>
      <c r="V23" s="1"/>
      <c r="W23" s="1"/>
      <c r="X23" s="1"/>
      <c r="Y23" s="1"/>
      <c r="Z23" s="1"/>
      <c r="AA23" s="1"/>
      <c r="AB23" s="1"/>
    </row>
    <row r="24" spans="1:28" ht="15" hidden="1">
      <c r="A24" s="85"/>
      <c r="B24" s="100" t="s">
        <v>123</v>
      </c>
      <c r="C24" s="36" t="s">
        <v>164</v>
      </c>
      <c r="D24" s="36" t="s">
        <v>124</v>
      </c>
      <c r="E24" s="37" t="s">
        <v>125</v>
      </c>
      <c r="F24" s="37" t="s">
        <v>126</v>
      </c>
      <c r="G24" s="36" t="s">
        <v>10</v>
      </c>
      <c r="S24" s="39"/>
      <c r="T24" s="1"/>
      <c r="U24" s="1"/>
      <c r="V24" s="1"/>
      <c r="W24" s="1"/>
      <c r="X24" s="1"/>
      <c r="Y24" s="1"/>
      <c r="Z24" s="1"/>
      <c r="AA24" s="1"/>
      <c r="AB24" s="1"/>
    </row>
    <row r="25" spans="1:28" ht="15" hidden="1">
      <c r="A25" s="85"/>
      <c r="B25" s="102" t="s">
        <v>127</v>
      </c>
      <c r="C25" s="36" t="str">
        <f>CONCATENATE(C22*100,B24)</f>
        <v>8,88%</v>
      </c>
      <c r="D25" s="36" t="str">
        <f>CONCATENATE(D22*100,B24)</f>
        <v>8,79%</v>
      </c>
      <c r="E25" s="36" t="str">
        <f>CONCATENATE(E21," ",B21,E22,B22,E23,B23)</f>
        <v>1,01 (0,89-1,13)</v>
      </c>
      <c r="F25" s="36" t="str">
        <f>CONCATENATE(F21*100,B24," ",B21,F22*100,B24," ",B25," ",F23*100,B24,B23)</f>
        <v>-0,09% (-1,14% a 0,97%)</v>
      </c>
      <c r="G25" s="36" t="str">
        <f>CONCATENATE(G21," ",B21,G22," ",B25," ",G23,B23)</f>
        <v>-1138 (103 a -88)</v>
      </c>
      <c r="S25" s="39"/>
      <c r="T25" s="1"/>
      <c r="U25" s="1"/>
      <c r="V25" s="1"/>
      <c r="W25" s="1"/>
      <c r="X25" s="1"/>
      <c r="Y25" s="1"/>
      <c r="Z25" s="1"/>
      <c r="AA25" s="1"/>
      <c r="AB25" s="1"/>
    </row>
    <row r="26" spans="1:28" ht="15" hidden="1">
      <c r="A26" s="103"/>
      <c r="B26" s="79"/>
      <c r="C26" s="16"/>
      <c r="D26" s="16"/>
      <c r="E26" s="16"/>
      <c r="F26" s="16"/>
      <c r="G26" s="16"/>
      <c r="S26" s="39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thickBot="1">
      <c r="A27" s="291">
        <f>A13*A14</f>
        <v>8.7874415275865425E-2</v>
      </c>
      <c r="B27" s="292" t="s">
        <v>165</v>
      </c>
      <c r="C27" s="1"/>
      <c r="D27" s="1"/>
      <c r="E27" s="1"/>
      <c r="F27" s="1"/>
      <c r="G27" s="1"/>
      <c r="S27" s="39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thickBot="1">
      <c r="A28" s="104"/>
      <c r="B28" s="1"/>
      <c r="C28" s="298" t="s">
        <v>166</v>
      </c>
      <c r="D28" s="299" t="s">
        <v>124</v>
      </c>
      <c r="E28" s="299" t="s">
        <v>125</v>
      </c>
      <c r="F28" s="299" t="s">
        <v>9</v>
      </c>
      <c r="G28" s="300" t="s">
        <v>10</v>
      </c>
      <c r="S28" s="39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thickBot="1">
      <c r="A29" s="105"/>
      <c r="B29" s="38"/>
      <c r="C29" s="301" t="str">
        <f>C25</f>
        <v>8,88%</v>
      </c>
      <c r="D29" s="302" t="str">
        <f>D25</f>
        <v>8,79%</v>
      </c>
      <c r="E29" s="302" t="str">
        <f>E25</f>
        <v>1,01 (0,89-1,13)</v>
      </c>
      <c r="F29" s="302" t="str">
        <f>F25</f>
        <v>-0,09% (-1,14% a 0,97%)</v>
      </c>
      <c r="G29" s="303" t="str">
        <f>G25</f>
        <v>-1138 (103 a -88)</v>
      </c>
      <c r="S29" s="39"/>
      <c r="T29" s="1"/>
      <c r="U29" s="1"/>
      <c r="V29" s="1"/>
      <c r="W29" s="1"/>
      <c r="X29" s="1"/>
      <c r="Y29" s="1"/>
      <c r="Z29" s="1"/>
      <c r="AA29" s="1"/>
      <c r="AB29" s="1"/>
    </row>
    <row r="30" spans="1:28" ht="15">
      <c r="B30" s="2"/>
      <c r="C30" s="2"/>
      <c r="E30" s="4"/>
      <c r="F30" s="3"/>
      <c r="S30" s="39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thickBot="1">
      <c r="D31" s="4"/>
      <c r="E31" s="4"/>
      <c r="S31" s="39"/>
      <c r="T31" s="1"/>
      <c r="U31" s="1"/>
      <c r="V31" s="1"/>
      <c r="W31" s="1"/>
      <c r="X31" s="1"/>
      <c r="Y31" s="1"/>
      <c r="Z31" s="1"/>
      <c r="AA31" s="1"/>
      <c r="AB31" s="1"/>
    </row>
    <row r="32" spans="1:28" ht="22.5" customHeight="1" thickBot="1">
      <c r="A32" s="369" t="s">
        <v>265</v>
      </c>
      <c r="B32" s="304" t="str">
        <f>B2</f>
        <v>Mort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6"/>
      <c r="S32" s="39"/>
      <c r="T32" s="1"/>
      <c r="U32" s="1"/>
    </row>
    <row r="33" spans="1:256" ht="36" customHeight="1" thickBot="1">
      <c r="A33" s="397" t="s">
        <v>135</v>
      </c>
      <c r="B33" s="397" t="s">
        <v>136</v>
      </c>
      <c r="C33" s="401" t="s">
        <v>7</v>
      </c>
      <c r="D33" s="403" t="s">
        <v>137</v>
      </c>
      <c r="E33" s="397" t="s">
        <v>138</v>
      </c>
      <c r="F33" s="397" t="s">
        <v>242</v>
      </c>
      <c r="G33" s="397" t="s">
        <v>243</v>
      </c>
      <c r="H33" s="397" t="s">
        <v>244</v>
      </c>
      <c r="I33" s="397" t="s">
        <v>245</v>
      </c>
      <c r="J33" s="397" t="s">
        <v>139</v>
      </c>
      <c r="K33" s="399" t="s">
        <v>140</v>
      </c>
      <c r="L33" s="386" t="s">
        <v>141</v>
      </c>
      <c r="M33" s="387"/>
      <c r="N33" s="387"/>
      <c r="O33" s="388"/>
      <c r="S33" s="39"/>
      <c r="T33" s="1"/>
      <c r="U33" s="1"/>
    </row>
    <row r="34" spans="1:256" ht="43.5" customHeight="1" thickBot="1">
      <c r="A34" s="398"/>
      <c r="B34" s="398"/>
      <c r="C34" s="402"/>
      <c r="D34" s="404"/>
      <c r="E34" s="398"/>
      <c r="F34" s="398"/>
      <c r="G34" s="398"/>
      <c r="H34" s="398"/>
      <c r="I34" s="398"/>
      <c r="J34" s="398"/>
      <c r="K34" s="400"/>
      <c r="L34" s="307" t="s">
        <v>8</v>
      </c>
      <c r="M34" s="308" t="s">
        <v>9</v>
      </c>
      <c r="N34" s="309" t="s">
        <v>10</v>
      </c>
      <c r="O34" s="310" t="s">
        <v>142</v>
      </c>
      <c r="S34" s="39"/>
      <c r="T34" s="1"/>
      <c r="U34" s="1"/>
    </row>
    <row r="35" spans="1:256" ht="24.75" customHeight="1">
      <c r="A35" s="389">
        <v>9</v>
      </c>
      <c r="B35" s="311" t="str">
        <f>A5</f>
        <v>ACCORD 2008, 3,8y</v>
      </c>
      <c r="C35" s="312" t="s">
        <v>11</v>
      </c>
      <c r="D35" s="313"/>
      <c r="E35" s="314">
        <f t="shared" ref="E35:E40" si="11">H5</f>
        <v>3.8</v>
      </c>
      <c r="F35" s="315" t="str">
        <f t="shared" ref="F35:F40" si="12">P5</f>
        <v>257 / 5128</v>
      </c>
      <c r="G35" s="316">
        <f t="shared" ref="G35:G40" si="13">L5</f>
        <v>1.318868544215453E-2</v>
      </c>
      <c r="H35" s="315" t="str">
        <f t="shared" ref="H35:H40" si="14">Q5</f>
        <v>203 / 5123</v>
      </c>
      <c r="I35" s="317">
        <f t="shared" ref="I35:J40" si="15">M5</f>
        <v>1.042768936786628E-2</v>
      </c>
      <c r="J35" s="318">
        <f t="shared" si="15"/>
        <v>62</v>
      </c>
      <c r="K35" s="6">
        <v>0.193</v>
      </c>
      <c r="L35" s="7" t="s">
        <v>12</v>
      </c>
      <c r="M35" s="5" t="s">
        <v>13</v>
      </c>
      <c r="N35" s="8" t="s">
        <v>14</v>
      </c>
      <c r="O35" s="42" t="s">
        <v>115</v>
      </c>
      <c r="P35" s="40"/>
      <c r="Q35" s="43">
        <v>3</v>
      </c>
      <c r="R35" s="44">
        <f>Q35*K35</f>
        <v>0.57899999999999996</v>
      </c>
      <c r="S35" s="39"/>
      <c r="T35" s="1" t="s">
        <v>296</v>
      </c>
      <c r="U35" s="1">
        <v>4</v>
      </c>
    </row>
    <row r="36" spans="1:256" ht="24.75" customHeight="1">
      <c r="A36" s="390"/>
      <c r="B36" s="311" t="str">
        <f>A6</f>
        <v>ADVANCE 2008, 5y</v>
      </c>
      <c r="C36" s="312" t="s">
        <v>11</v>
      </c>
      <c r="D36" s="313"/>
      <c r="E36" s="314">
        <f t="shared" si="11"/>
        <v>5</v>
      </c>
      <c r="F36" s="315" t="str">
        <f t="shared" si="12"/>
        <v>498 / 5571</v>
      </c>
      <c r="G36" s="316">
        <f t="shared" si="13"/>
        <v>1.7878298330640818E-2</v>
      </c>
      <c r="H36" s="315" t="str">
        <f t="shared" si="14"/>
        <v>533 / 5569</v>
      </c>
      <c r="I36" s="316">
        <f t="shared" si="15"/>
        <v>1.9141677141318009E-2</v>
      </c>
      <c r="J36" s="318">
        <f t="shared" si="15"/>
        <v>66</v>
      </c>
      <c r="K36" s="6">
        <v>0.25600000000000001</v>
      </c>
      <c r="L36" s="7" t="s">
        <v>15</v>
      </c>
      <c r="M36" s="5" t="s">
        <v>16</v>
      </c>
      <c r="N36" s="5" t="s">
        <v>17</v>
      </c>
      <c r="O36" s="45" t="s">
        <v>116</v>
      </c>
      <c r="P36" s="40"/>
      <c r="Q36" s="43">
        <v>3.5</v>
      </c>
      <c r="R36" s="44">
        <f t="shared" ref="R36:R39" si="16">Q36*K36</f>
        <v>0.89600000000000002</v>
      </c>
      <c r="S36" s="39"/>
      <c r="T36" s="1" t="s">
        <v>115</v>
      </c>
      <c r="U36" s="1">
        <v>3</v>
      </c>
    </row>
    <row r="37" spans="1:256" ht="24.75" customHeight="1">
      <c r="A37" s="390"/>
      <c r="B37" s="311" t="str">
        <f>A7</f>
        <v>PROactive 2005, 2,8y</v>
      </c>
      <c r="C37" s="312" t="s">
        <v>11</v>
      </c>
      <c r="D37" s="313"/>
      <c r="E37" s="314">
        <f t="shared" si="11"/>
        <v>2.8</v>
      </c>
      <c r="F37" s="315" t="str">
        <f t="shared" si="12"/>
        <v>177 / 2605</v>
      </c>
      <c r="G37" s="316">
        <f t="shared" si="13"/>
        <v>2.4266520427748836E-2</v>
      </c>
      <c r="H37" s="315" t="str">
        <f t="shared" si="14"/>
        <v>186 / 2633</v>
      </c>
      <c r="I37" s="316">
        <f t="shared" si="15"/>
        <v>2.5229233356844447E-2</v>
      </c>
      <c r="J37" s="318">
        <f t="shared" si="15"/>
        <v>62</v>
      </c>
      <c r="K37" s="6">
        <v>0.17599999999999999</v>
      </c>
      <c r="L37" s="7" t="s">
        <v>18</v>
      </c>
      <c r="M37" s="5" t="s">
        <v>19</v>
      </c>
      <c r="N37" s="5" t="s">
        <v>20</v>
      </c>
      <c r="O37" s="45" t="s">
        <v>116</v>
      </c>
      <c r="P37" s="40"/>
      <c r="Q37" s="43">
        <v>3.5</v>
      </c>
      <c r="R37" s="44">
        <f t="shared" si="16"/>
        <v>0.61599999999999999</v>
      </c>
      <c r="S37" s="39"/>
      <c r="T37" s="1" t="s">
        <v>297</v>
      </c>
      <c r="U37" s="1">
        <v>2</v>
      </c>
    </row>
    <row r="38" spans="1:256" ht="24.75" customHeight="1">
      <c r="A38" s="390"/>
      <c r="B38" s="311" t="str">
        <f>A8</f>
        <v>UKPDS 1998, 10y</v>
      </c>
      <c r="C38" s="312" t="s">
        <v>11</v>
      </c>
      <c r="D38" s="313"/>
      <c r="E38" s="314">
        <f t="shared" si="11"/>
        <v>10</v>
      </c>
      <c r="F38" s="315" t="str">
        <f t="shared" si="12"/>
        <v>539 / 3071</v>
      </c>
      <c r="G38" s="316">
        <f t="shared" si="13"/>
        <v>1.7551286225985022E-2</v>
      </c>
      <c r="H38" s="315" t="str">
        <f t="shared" si="14"/>
        <v>302 / 1549</v>
      </c>
      <c r="I38" s="316">
        <f t="shared" si="15"/>
        <v>1.9496449322143318E-2</v>
      </c>
      <c r="J38" s="318">
        <f t="shared" si="15"/>
        <v>53</v>
      </c>
      <c r="K38" s="6">
        <v>0.245</v>
      </c>
      <c r="L38" s="7" t="s">
        <v>21</v>
      </c>
      <c r="M38" s="5" t="s">
        <v>22</v>
      </c>
      <c r="N38" s="5" t="s">
        <v>23</v>
      </c>
      <c r="O38" s="45" t="s">
        <v>115</v>
      </c>
      <c r="P38" s="40"/>
      <c r="Q38" s="43">
        <v>3</v>
      </c>
      <c r="R38" s="44">
        <f t="shared" si="16"/>
        <v>0.73499999999999999</v>
      </c>
      <c r="S38" s="39"/>
      <c r="T38" s="1" t="s">
        <v>298</v>
      </c>
      <c r="U38" s="1">
        <v>1</v>
      </c>
    </row>
    <row r="39" spans="1:256" ht="24.75" customHeight="1" thickBot="1">
      <c r="A39" s="391"/>
      <c r="B39" s="311" t="str">
        <f>A9</f>
        <v>VADT 2009, 5,6y</v>
      </c>
      <c r="C39" s="312" t="s">
        <v>11</v>
      </c>
      <c r="D39" s="313"/>
      <c r="E39" s="314">
        <f t="shared" si="11"/>
        <v>5.6</v>
      </c>
      <c r="F39" s="315" t="str">
        <f t="shared" si="12"/>
        <v>102 / 892</v>
      </c>
      <c r="G39" s="316">
        <f t="shared" si="13"/>
        <v>2.0419602818705959E-2</v>
      </c>
      <c r="H39" s="315" t="str">
        <f t="shared" si="14"/>
        <v>95 / 899</v>
      </c>
      <c r="I39" s="316">
        <f t="shared" si="15"/>
        <v>1.8870173208326714E-2</v>
      </c>
      <c r="J39" s="318">
        <f t="shared" si="15"/>
        <v>60</v>
      </c>
      <c r="K39" s="6">
        <v>0.13</v>
      </c>
      <c r="L39" s="7" t="s">
        <v>24</v>
      </c>
      <c r="M39" s="5" t="s">
        <v>25</v>
      </c>
      <c r="N39" s="5" t="s">
        <v>26</v>
      </c>
      <c r="O39" s="45" t="s">
        <v>116</v>
      </c>
      <c r="P39" s="40"/>
      <c r="Q39" s="43">
        <v>3.5</v>
      </c>
      <c r="R39" s="44">
        <f t="shared" si="16"/>
        <v>0.45500000000000002</v>
      </c>
      <c r="S39" s="39"/>
      <c r="T39" s="1"/>
      <c r="U39" s="1"/>
    </row>
    <row r="40" spans="1:256" ht="24" customHeight="1" thickBot="1">
      <c r="A40" s="319" t="s">
        <v>143</v>
      </c>
      <c r="B40" s="320">
        <f>COUNT(E35:E39)</f>
        <v>5</v>
      </c>
      <c r="C40" s="321"/>
      <c r="D40" s="248" t="s">
        <v>208</v>
      </c>
      <c r="E40" s="322">
        <f t="shared" si="11"/>
        <v>5.0105871670702173</v>
      </c>
      <c r="F40" s="323" t="str">
        <f t="shared" si="12"/>
        <v>1573 / 17267</v>
      </c>
      <c r="G40" s="324">
        <f t="shared" si="13"/>
        <v>1.7411883472104459E-2</v>
      </c>
      <c r="H40" s="323" t="str">
        <f t="shared" si="14"/>
        <v>1319 / 15773</v>
      </c>
      <c r="I40" s="324">
        <f t="shared" si="15"/>
        <v>1.7537748041463016E-2</v>
      </c>
      <c r="J40" s="322">
        <f t="shared" si="15"/>
        <v>61.981779661016951</v>
      </c>
      <c r="K40" s="6">
        <v>1</v>
      </c>
      <c r="L40" s="19" t="s">
        <v>27</v>
      </c>
      <c r="M40" s="4"/>
      <c r="N40" s="9"/>
      <c r="O40" s="48" t="s">
        <v>116</v>
      </c>
      <c r="P40" s="40"/>
      <c r="Q40" s="40"/>
      <c r="R40" s="49">
        <f>SUM(R35:R39)</f>
        <v>3.2810000000000001</v>
      </c>
      <c r="S40" s="39"/>
      <c r="T40" s="1"/>
      <c r="U40" s="1"/>
    </row>
    <row r="41" spans="1:256" ht="13.5" thickBot="1">
      <c r="A41" s="325"/>
      <c r="B41" s="325"/>
      <c r="C41" s="326"/>
      <c r="D41" s="327"/>
      <c r="E41" s="328"/>
      <c r="F41" s="329"/>
      <c r="G41" s="330"/>
      <c r="H41" s="329"/>
      <c r="I41" s="331"/>
      <c r="J41" s="332"/>
      <c r="K41" s="50"/>
      <c r="L41" s="46"/>
      <c r="M41" s="47"/>
      <c r="N41" s="47"/>
      <c r="O41" s="50"/>
      <c r="P41" s="40"/>
      <c r="Q41" s="40"/>
      <c r="R41" s="40"/>
    </row>
    <row r="42" spans="1:256" ht="48" thickBot="1">
      <c r="A42" s="334"/>
      <c r="B42" s="392" t="s">
        <v>246</v>
      </c>
      <c r="C42" s="393"/>
      <c r="D42" s="393"/>
      <c r="E42" s="393"/>
      <c r="F42" s="393"/>
      <c r="G42" s="393"/>
      <c r="H42" s="393"/>
      <c r="I42" s="394"/>
      <c r="J42" s="51" t="s">
        <v>144</v>
      </c>
      <c r="K42" s="52" t="s">
        <v>145</v>
      </c>
      <c r="L42" s="53" t="s">
        <v>8</v>
      </c>
      <c r="M42" s="54" t="s">
        <v>9</v>
      </c>
      <c r="N42" s="55" t="s">
        <v>10</v>
      </c>
      <c r="O42" s="47"/>
      <c r="P42" s="41"/>
      <c r="Q42" s="41"/>
      <c r="R42" s="41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30" customHeight="1">
      <c r="A43" s="395" t="s">
        <v>146</v>
      </c>
      <c r="B43" s="335" t="s">
        <v>147</v>
      </c>
      <c r="C43" s="336">
        <f>I40</f>
        <v>1.7537748041463016E-2</v>
      </c>
      <c r="D43" s="337" t="s">
        <v>148</v>
      </c>
      <c r="E43" s="337"/>
      <c r="F43" s="337"/>
      <c r="G43" s="337"/>
      <c r="H43" s="338">
        <f>J40</f>
        <v>61.981779661016951</v>
      </c>
      <c r="I43" s="339" t="s">
        <v>149</v>
      </c>
      <c r="J43" s="340" t="s">
        <v>209</v>
      </c>
      <c r="K43" s="57" t="s">
        <v>210</v>
      </c>
      <c r="L43" s="249" t="s">
        <v>27</v>
      </c>
      <c r="M43" s="58" t="s">
        <v>211</v>
      </c>
      <c r="N43" s="252" t="s">
        <v>212</v>
      </c>
      <c r="O43" s="59" t="s">
        <v>150</v>
      </c>
      <c r="P43" s="40"/>
      <c r="Q43" s="40"/>
      <c r="R43" s="40"/>
    </row>
    <row r="44" spans="1:256" ht="30" customHeight="1" thickBot="1">
      <c r="A44" s="396"/>
      <c r="B44" s="341" t="s">
        <v>147</v>
      </c>
      <c r="C44" s="342">
        <f>I40*E40</f>
        <v>8.7874415275865425E-2</v>
      </c>
      <c r="D44" s="343" t="s">
        <v>151</v>
      </c>
      <c r="E44" s="344"/>
      <c r="F44" s="345"/>
      <c r="G44" s="346">
        <f>E40</f>
        <v>5.0105871670702173</v>
      </c>
      <c r="H44" s="343" t="s">
        <v>2</v>
      </c>
      <c r="I44" s="347"/>
      <c r="J44" s="60" t="s">
        <v>213</v>
      </c>
      <c r="K44" s="61" t="s">
        <v>214</v>
      </c>
      <c r="L44" s="250" t="s">
        <v>27</v>
      </c>
      <c r="M44" s="62" t="s">
        <v>215</v>
      </c>
      <c r="N44" s="259" t="s">
        <v>216</v>
      </c>
      <c r="O44" s="63" t="s">
        <v>170</v>
      </c>
      <c r="P44" s="40"/>
      <c r="Q44" s="40"/>
      <c r="R44" s="40"/>
    </row>
    <row r="45" spans="1:256" ht="19.5" thickBot="1">
      <c r="A45" s="348"/>
      <c r="B45" s="349"/>
      <c r="C45" s="350"/>
      <c r="D45" s="351"/>
      <c r="E45" s="352"/>
      <c r="F45" s="353"/>
      <c r="G45" s="354"/>
      <c r="H45" s="351"/>
      <c r="I45" s="353"/>
      <c r="J45" s="64"/>
      <c r="K45" s="64"/>
      <c r="L45" s="65"/>
      <c r="M45" s="66"/>
      <c r="N45" s="66"/>
      <c r="O45" s="67"/>
      <c r="P45" s="40"/>
      <c r="Q45" s="40"/>
      <c r="R45" s="40"/>
    </row>
    <row r="46" spans="1:256" ht="19.5" thickBot="1">
      <c r="A46" s="355"/>
      <c r="B46" s="355"/>
      <c r="C46" s="333"/>
      <c r="D46" s="333"/>
      <c r="E46" s="333"/>
      <c r="F46" s="333"/>
      <c r="G46" s="333"/>
      <c r="H46" s="333"/>
      <c r="I46" s="356"/>
      <c r="J46" s="361"/>
      <c r="K46" s="362" t="s">
        <v>152</v>
      </c>
      <c r="L46" s="251" t="s">
        <v>217</v>
      </c>
      <c r="M46" s="68"/>
      <c r="N46" s="69"/>
      <c r="O46" s="70"/>
      <c r="P46" s="40"/>
      <c r="Q46" s="40"/>
      <c r="R46" s="40"/>
    </row>
    <row r="47" spans="1:256">
      <c r="A47" s="355"/>
      <c r="B47" s="355"/>
      <c r="C47" s="333"/>
      <c r="D47" s="333"/>
      <c r="E47" s="333"/>
      <c r="F47" s="333"/>
      <c r="G47" s="333"/>
      <c r="H47" s="333"/>
      <c r="I47" s="370" t="s">
        <v>153</v>
      </c>
      <c r="J47" s="363">
        <f>E40</f>
        <v>5.0105871670702173</v>
      </c>
      <c r="K47" s="363">
        <f>E40</f>
        <v>5.0105871670702173</v>
      </c>
      <c r="L47" s="50"/>
      <c r="M47" s="50"/>
      <c r="N47" s="50"/>
      <c r="O47" s="50"/>
      <c r="P47" s="40"/>
      <c r="Q47" s="40"/>
      <c r="R47" s="40"/>
    </row>
    <row r="48" spans="1:256">
      <c r="A48" s="355"/>
      <c r="B48" s="355"/>
      <c r="C48" s="333"/>
      <c r="D48" s="333"/>
      <c r="E48" s="333"/>
      <c r="F48" s="333"/>
      <c r="G48" s="333"/>
      <c r="H48" s="333"/>
      <c r="I48" s="371"/>
      <c r="J48" s="372" t="s">
        <v>0</v>
      </c>
      <c r="K48" s="372" t="s">
        <v>132</v>
      </c>
      <c r="L48" s="372" t="s">
        <v>237</v>
      </c>
      <c r="M48" s="50"/>
      <c r="N48" s="50"/>
      <c r="O48" s="50"/>
      <c r="P48" s="40"/>
      <c r="Q48" s="40"/>
      <c r="R48" s="40"/>
    </row>
    <row r="49" spans="1:18">
      <c r="A49" s="333"/>
      <c r="B49" s="355"/>
      <c r="C49" s="355"/>
      <c r="D49" s="333"/>
      <c r="E49" s="333"/>
      <c r="F49" s="333"/>
      <c r="G49" s="333"/>
      <c r="H49" s="333"/>
      <c r="I49" s="373" t="s">
        <v>154</v>
      </c>
      <c r="J49" s="374">
        <f>J43*1000*J47</f>
        <v>88.687392857142839</v>
      </c>
      <c r="K49" s="374">
        <f>K43*1000*K47</f>
        <v>87.685275423728797</v>
      </c>
      <c r="L49" s="375">
        <f>((J49*I10)+(K49*J10))/K10</f>
        <v>88.232131355932182</v>
      </c>
      <c r="M49" s="50"/>
      <c r="N49" s="50"/>
      <c r="O49" s="50"/>
      <c r="P49" s="40"/>
      <c r="Q49" s="40"/>
      <c r="R49" s="40"/>
    </row>
    <row r="50" spans="1:18">
      <c r="A50" s="1"/>
      <c r="B50" s="1"/>
      <c r="C50" s="1"/>
      <c r="D50" s="1"/>
      <c r="E50" s="1"/>
      <c r="F50" s="1"/>
      <c r="G50" s="1"/>
    </row>
    <row r="51" spans="1:18">
      <c r="A51" s="1"/>
      <c r="B51" s="1"/>
      <c r="C51" s="1"/>
      <c r="D51" s="1"/>
      <c r="E51" s="1"/>
      <c r="F51" s="1"/>
      <c r="G51" s="1"/>
    </row>
    <row r="52" spans="1:18">
      <c r="A52" s="1"/>
      <c r="B52" s="1"/>
      <c r="C52" s="1"/>
      <c r="D52" s="1"/>
      <c r="E52" s="1"/>
      <c r="F52" s="1"/>
      <c r="G52" s="1"/>
    </row>
    <row r="53" spans="1:18">
      <c r="A53" s="1"/>
      <c r="B53" s="1"/>
      <c r="C53" s="1"/>
      <c r="D53" s="1"/>
      <c r="E53" s="1"/>
      <c r="F53" s="1"/>
      <c r="G53" s="1"/>
    </row>
    <row r="54" spans="1:18">
      <c r="A54" s="1"/>
      <c r="B54" s="1"/>
      <c r="C54" s="1"/>
      <c r="D54" s="1"/>
      <c r="E54" s="1"/>
      <c r="F54" s="1"/>
      <c r="G54" s="1"/>
    </row>
    <row r="55" spans="1:18">
      <c r="A55" s="1"/>
      <c r="B55" s="1"/>
      <c r="C55" s="1"/>
      <c r="D55" s="1"/>
      <c r="E55" s="1"/>
      <c r="F55" s="1"/>
      <c r="G55" s="1"/>
    </row>
    <row r="56" spans="1:18">
      <c r="A56" s="1"/>
      <c r="B56" s="1"/>
      <c r="C56" s="1"/>
      <c r="D56" s="1"/>
      <c r="E56" s="1"/>
      <c r="F56" s="1"/>
      <c r="G56" s="1"/>
    </row>
    <row r="57" spans="1:18">
      <c r="A57" s="1"/>
      <c r="B57" s="1"/>
      <c r="C57" s="1"/>
      <c r="D57" s="1"/>
      <c r="E57" s="1"/>
      <c r="F57" s="1"/>
      <c r="G57" s="1"/>
    </row>
    <row r="58" spans="1:18">
      <c r="A58" s="1"/>
      <c r="B58" s="1"/>
      <c r="C58" s="1"/>
      <c r="D58" s="1"/>
      <c r="E58" s="1"/>
      <c r="F58" s="1"/>
      <c r="G58" s="1"/>
    </row>
    <row r="59" spans="1:18">
      <c r="A59" s="1"/>
      <c r="B59" s="1"/>
      <c r="C59" s="1"/>
      <c r="D59" s="1"/>
      <c r="E59" s="1"/>
      <c r="F59" s="1"/>
      <c r="G59" s="1"/>
    </row>
    <row r="60" spans="1:18">
      <c r="A60" s="1"/>
      <c r="B60" s="1"/>
      <c r="C60" s="1"/>
      <c r="D60" s="1"/>
      <c r="E60" s="1"/>
      <c r="F60" s="1"/>
      <c r="G60" s="1"/>
    </row>
    <row r="61" spans="1:18">
      <c r="A61" s="1"/>
      <c r="B61" s="1"/>
      <c r="C61" s="1"/>
      <c r="D61" s="1"/>
      <c r="E61" s="1"/>
      <c r="F61" s="1"/>
      <c r="G61" s="1"/>
    </row>
    <row r="62" spans="1:18">
      <c r="A62" s="1"/>
      <c r="B62" s="1"/>
      <c r="C62" s="1"/>
      <c r="D62" s="1"/>
      <c r="E62" s="1"/>
      <c r="F62" s="1"/>
      <c r="G62" s="1"/>
    </row>
    <row r="63" spans="1:18">
      <c r="A63" s="1"/>
      <c r="B63" s="1"/>
      <c r="C63" s="1"/>
      <c r="D63" s="1"/>
      <c r="E63" s="1"/>
      <c r="F63" s="1"/>
      <c r="G63" s="1"/>
    </row>
    <row r="64" spans="1:18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</sheetData>
  <mergeCells count="20">
    <mergeCell ref="B3:D3"/>
    <mergeCell ref="E3:G3"/>
    <mergeCell ref="I3:K3"/>
    <mergeCell ref="L3:M3"/>
    <mergeCell ref="D12:F12"/>
    <mergeCell ref="L33:O33"/>
    <mergeCell ref="A35:A39"/>
    <mergeCell ref="B42:I42"/>
    <mergeCell ref="A43:A44"/>
    <mergeCell ref="F33:F34"/>
    <mergeCell ref="G33:G34"/>
    <mergeCell ref="H33:H34"/>
    <mergeCell ref="I33:I34"/>
    <mergeCell ref="J33:J34"/>
    <mergeCell ref="K33:K34"/>
    <mergeCell ref="A33:A34"/>
    <mergeCell ref="B33:B34"/>
    <mergeCell ref="C33:C34"/>
    <mergeCell ref="D33:D34"/>
    <mergeCell ref="E33:E34"/>
  </mergeCells>
  <pageMargins left="0.7" right="0.7" top="0.75" bottom="0.75" header="0.3" footer="0.3"/>
  <pageSetup paperSize="9" orientation="portrait" horizontalDpi="300" verticalDpi="300" r:id="rId1"/>
  <ignoredErrors>
    <ignoredError sqref="H10" formula="1"/>
    <ignoredError sqref="J43:K4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zoomScaleNormal="100" workbookViewId="0">
      <selection activeCell="E3" sqref="E3:G3"/>
    </sheetView>
  </sheetViews>
  <sheetFormatPr baseColWidth="10" defaultColWidth="16" defaultRowHeight="12.75"/>
  <cols>
    <col min="1" max="1" width="21.42578125" style="2" customWidth="1"/>
    <col min="2" max="2" width="23.5703125" style="262" customWidth="1"/>
    <col min="3" max="3" width="15" style="262" customWidth="1"/>
    <col min="4" max="4" width="15.140625" style="2" customWidth="1"/>
    <col min="5" max="5" width="16" style="2" customWidth="1"/>
    <col min="6" max="6" width="20" style="2" customWidth="1"/>
    <col min="7" max="7" width="17.140625" style="2" customWidth="1"/>
    <col min="8" max="8" width="15.28515625" style="2" customWidth="1"/>
    <col min="9" max="9" width="12.7109375" style="2" customWidth="1"/>
    <col min="10" max="10" width="15.140625" style="2" customWidth="1"/>
    <col min="11" max="11" width="15.28515625" style="2" customWidth="1"/>
    <col min="12" max="12" width="23.85546875" style="2" customWidth="1"/>
    <col min="13" max="13" width="25.5703125" style="2" customWidth="1"/>
    <col min="14" max="14" width="25.28515625" style="2" customWidth="1"/>
    <col min="15" max="15" width="16.7109375" style="2" customWidth="1"/>
    <col min="16" max="16" width="16" style="2"/>
    <col min="17" max="17" width="12.140625" style="2" customWidth="1"/>
    <col min="18" max="18" width="4.42578125" style="2" customWidth="1"/>
    <col min="19" max="19" width="34.85546875" style="2" customWidth="1"/>
    <col min="20" max="256" width="16" style="2"/>
    <col min="257" max="257" width="21.42578125" style="2" customWidth="1"/>
    <col min="258" max="258" width="23.5703125" style="2" customWidth="1"/>
    <col min="259" max="259" width="15" style="2" customWidth="1"/>
    <col min="260" max="260" width="15.140625" style="2" customWidth="1"/>
    <col min="261" max="261" width="16" style="2" customWidth="1"/>
    <col min="262" max="262" width="16.140625" style="2" customWidth="1"/>
    <col min="263" max="263" width="17.140625" style="2" customWidth="1"/>
    <col min="264" max="264" width="15.28515625" style="2" customWidth="1"/>
    <col min="265" max="265" width="12.7109375" style="2" customWidth="1"/>
    <col min="266" max="266" width="15.140625" style="2" customWidth="1"/>
    <col min="267" max="267" width="15.28515625" style="2" customWidth="1"/>
    <col min="268" max="268" width="23.85546875" style="2" customWidth="1"/>
    <col min="269" max="269" width="25.5703125" style="2" customWidth="1"/>
    <col min="270" max="270" width="20.5703125" style="2" customWidth="1"/>
    <col min="271" max="271" width="16.7109375" style="2" customWidth="1"/>
    <col min="272" max="272" width="16" style="2"/>
    <col min="273" max="273" width="12.140625" style="2" customWidth="1"/>
    <col min="274" max="274" width="4.42578125" style="2" customWidth="1"/>
    <col min="275" max="275" width="34.85546875" style="2" customWidth="1"/>
    <col min="276" max="512" width="16" style="2"/>
    <col min="513" max="513" width="21.42578125" style="2" customWidth="1"/>
    <col min="514" max="514" width="23.5703125" style="2" customWidth="1"/>
    <col min="515" max="515" width="15" style="2" customWidth="1"/>
    <col min="516" max="516" width="15.140625" style="2" customWidth="1"/>
    <col min="517" max="517" width="16" style="2" customWidth="1"/>
    <col min="518" max="518" width="16.140625" style="2" customWidth="1"/>
    <col min="519" max="519" width="17.140625" style="2" customWidth="1"/>
    <col min="520" max="520" width="15.28515625" style="2" customWidth="1"/>
    <col min="521" max="521" width="12.7109375" style="2" customWidth="1"/>
    <col min="522" max="522" width="15.140625" style="2" customWidth="1"/>
    <col min="523" max="523" width="15.28515625" style="2" customWidth="1"/>
    <col min="524" max="524" width="23.85546875" style="2" customWidth="1"/>
    <col min="525" max="525" width="25.5703125" style="2" customWidth="1"/>
    <col min="526" max="526" width="20.5703125" style="2" customWidth="1"/>
    <col min="527" max="527" width="16.7109375" style="2" customWidth="1"/>
    <col min="528" max="528" width="16" style="2"/>
    <col min="529" max="529" width="12.140625" style="2" customWidth="1"/>
    <col min="530" max="530" width="4.42578125" style="2" customWidth="1"/>
    <col min="531" max="531" width="34.85546875" style="2" customWidth="1"/>
    <col min="532" max="768" width="16" style="2"/>
    <col min="769" max="769" width="21.42578125" style="2" customWidth="1"/>
    <col min="770" max="770" width="23.5703125" style="2" customWidth="1"/>
    <col min="771" max="771" width="15" style="2" customWidth="1"/>
    <col min="772" max="772" width="15.140625" style="2" customWidth="1"/>
    <col min="773" max="773" width="16" style="2" customWidth="1"/>
    <col min="774" max="774" width="16.140625" style="2" customWidth="1"/>
    <col min="775" max="775" width="17.140625" style="2" customWidth="1"/>
    <col min="776" max="776" width="15.28515625" style="2" customWidth="1"/>
    <col min="777" max="777" width="12.7109375" style="2" customWidth="1"/>
    <col min="778" max="778" width="15.140625" style="2" customWidth="1"/>
    <col min="779" max="779" width="15.28515625" style="2" customWidth="1"/>
    <col min="780" max="780" width="23.85546875" style="2" customWidth="1"/>
    <col min="781" max="781" width="25.5703125" style="2" customWidth="1"/>
    <col min="782" max="782" width="20.5703125" style="2" customWidth="1"/>
    <col min="783" max="783" width="16.7109375" style="2" customWidth="1"/>
    <col min="784" max="784" width="16" style="2"/>
    <col min="785" max="785" width="12.140625" style="2" customWidth="1"/>
    <col min="786" max="786" width="4.42578125" style="2" customWidth="1"/>
    <col min="787" max="787" width="34.85546875" style="2" customWidth="1"/>
    <col min="788" max="1024" width="16" style="2"/>
    <col min="1025" max="1025" width="21.42578125" style="2" customWidth="1"/>
    <col min="1026" max="1026" width="23.5703125" style="2" customWidth="1"/>
    <col min="1027" max="1027" width="15" style="2" customWidth="1"/>
    <col min="1028" max="1028" width="15.140625" style="2" customWidth="1"/>
    <col min="1029" max="1029" width="16" style="2" customWidth="1"/>
    <col min="1030" max="1030" width="16.140625" style="2" customWidth="1"/>
    <col min="1031" max="1031" width="17.140625" style="2" customWidth="1"/>
    <col min="1032" max="1032" width="15.28515625" style="2" customWidth="1"/>
    <col min="1033" max="1033" width="12.7109375" style="2" customWidth="1"/>
    <col min="1034" max="1034" width="15.140625" style="2" customWidth="1"/>
    <col min="1035" max="1035" width="15.28515625" style="2" customWidth="1"/>
    <col min="1036" max="1036" width="23.85546875" style="2" customWidth="1"/>
    <col min="1037" max="1037" width="25.5703125" style="2" customWidth="1"/>
    <col min="1038" max="1038" width="20.5703125" style="2" customWidth="1"/>
    <col min="1039" max="1039" width="16.7109375" style="2" customWidth="1"/>
    <col min="1040" max="1040" width="16" style="2"/>
    <col min="1041" max="1041" width="12.140625" style="2" customWidth="1"/>
    <col min="1042" max="1042" width="4.42578125" style="2" customWidth="1"/>
    <col min="1043" max="1043" width="34.85546875" style="2" customWidth="1"/>
    <col min="1044" max="1280" width="16" style="2"/>
    <col min="1281" max="1281" width="21.42578125" style="2" customWidth="1"/>
    <col min="1282" max="1282" width="23.5703125" style="2" customWidth="1"/>
    <col min="1283" max="1283" width="15" style="2" customWidth="1"/>
    <col min="1284" max="1284" width="15.140625" style="2" customWidth="1"/>
    <col min="1285" max="1285" width="16" style="2" customWidth="1"/>
    <col min="1286" max="1286" width="16.140625" style="2" customWidth="1"/>
    <col min="1287" max="1287" width="17.140625" style="2" customWidth="1"/>
    <col min="1288" max="1288" width="15.28515625" style="2" customWidth="1"/>
    <col min="1289" max="1289" width="12.7109375" style="2" customWidth="1"/>
    <col min="1290" max="1290" width="15.140625" style="2" customWidth="1"/>
    <col min="1291" max="1291" width="15.28515625" style="2" customWidth="1"/>
    <col min="1292" max="1292" width="23.85546875" style="2" customWidth="1"/>
    <col min="1293" max="1293" width="25.5703125" style="2" customWidth="1"/>
    <col min="1294" max="1294" width="20.5703125" style="2" customWidth="1"/>
    <col min="1295" max="1295" width="16.7109375" style="2" customWidth="1"/>
    <col min="1296" max="1296" width="16" style="2"/>
    <col min="1297" max="1297" width="12.140625" style="2" customWidth="1"/>
    <col min="1298" max="1298" width="4.42578125" style="2" customWidth="1"/>
    <col min="1299" max="1299" width="34.85546875" style="2" customWidth="1"/>
    <col min="1300" max="1536" width="16" style="2"/>
    <col min="1537" max="1537" width="21.42578125" style="2" customWidth="1"/>
    <col min="1538" max="1538" width="23.5703125" style="2" customWidth="1"/>
    <col min="1539" max="1539" width="15" style="2" customWidth="1"/>
    <col min="1540" max="1540" width="15.140625" style="2" customWidth="1"/>
    <col min="1541" max="1541" width="16" style="2" customWidth="1"/>
    <col min="1542" max="1542" width="16.140625" style="2" customWidth="1"/>
    <col min="1543" max="1543" width="17.140625" style="2" customWidth="1"/>
    <col min="1544" max="1544" width="15.28515625" style="2" customWidth="1"/>
    <col min="1545" max="1545" width="12.7109375" style="2" customWidth="1"/>
    <col min="1546" max="1546" width="15.140625" style="2" customWidth="1"/>
    <col min="1547" max="1547" width="15.28515625" style="2" customWidth="1"/>
    <col min="1548" max="1548" width="23.85546875" style="2" customWidth="1"/>
    <col min="1549" max="1549" width="25.5703125" style="2" customWidth="1"/>
    <col min="1550" max="1550" width="20.5703125" style="2" customWidth="1"/>
    <col min="1551" max="1551" width="16.7109375" style="2" customWidth="1"/>
    <col min="1552" max="1552" width="16" style="2"/>
    <col min="1553" max="1553" width="12.140625" style="2" customWidth="1"/>
    <col min="1554" max="1554" width="4.42578125" style="2" customWidth="1"/>
    <col min="1555" max="1555" width="34.85546875" style="2" customWidth="1"/>
    <col min="1556" max="1792" width="16" style="2"/>
    <col min="1793" max="1793" width="21.42578125" style="2" customWidth="1"/>
    <col min="1794" max="1794" width="23.5703125" style="2" customWidth="1"/>
    <col min="1795" max="1795" width="15" style="2" customWidth="1"/>
    <col min="1796" max="1796" width="15.140625" style="2" customWidth="1"/>
    <col min="1797" max="1797" width="16" style="2" customWidth="1"/>
    <col min="1798" max="1798" width="16.140625" style="2" customWidth="1"/>
    <col min="1799" max="1799" width="17.140625" style="2" customWidth="1"/>
    <col min="1800" max="1800" width="15.28515625" style="2" customWidth="1"/>
    <col min="1801" max="1801" width="12.7109375" style="2" customWidth="1"/>
    <col min="1802" max="1802" width="15.140625" style="2" customWidth="1"/>
    <col min="1803" max="1803" width="15.28515625" style="2" customWidth="1"/>
    <col min="1804" max="1804" width="23.85546875" style="2" customWidth="1"/>
    <col min="1805" max="1805" width="25.5703125" style="2" customWidth="1"/>
    <col min="1806" max="1806" width="20.5703125" style="2" customWidth="1"/>
    <col min="1807" max="1807" width="16.7109375" style="2" customWidth="1"/>
    <col min="1808" max="1808" width="16" style="2"/>
    <col min="1809" max="1809" width="12.140625" style="2" customWidth="1"/>
    <col min="1810" max="1810" width="4.42578125" style="2" customWidth="1"/>
    <col min="1811" max="1811" width="34.85546875" style="2" customWidth="1"/>
    <col min="1812" max="2048" width="16" style="2"/>
    <col min="2049" max="2049" width="21.42578125" style="2" customWidth="1"/>
    <col min="2050" max="2050" width="23.5703125" style="2" customWidth="1"/>
    <col min="2051" max="2051" width="15" style="2" customWidth="1"/>
    <col min="2052" max="2052" width="15.140625" style="2" customWidth="1"/>
    <col min="2053" max="2053" width="16" style="2" customWidth="1"/>
    <col min="2054" max="2054" width="16.140625" style="2" customWidth="1"/>
    <col min="2055" max="2055" width="17.140625" style="2" customWidth="1"/>
    <col min="2056" max="2056" width="15.28515625" style="2" customWidth="1"/>
    <col min="2057" max="2057" width="12.7109375" style="2" customWidth="1"/>
    <col min="2058" max="2058" width="15.140625" style="2" customWidth="1"/>
    <col min="2059" max="2059" width="15.28515625" style="2" customWidth="1"/>
    <col min="2060" max="2060" width="23.85546875" style="2" customWidth="1"/>
    <col min="2061" max="2061" width="25.5703125" style="2" customWidth="1"/>
    <col min="2062" max="2062" width="20.5703125" style="2" customWidth="1"/>
    <col min="2063" max="2063" width="16.7109375" style="2" customWidth="1"/>
    <col min="2064" max="2064" width="16" style="2"/>
    <col min="2065" max="2065" width="12.140625" style="2" customWidth="1"/>
    <col min="2066" max="2066" width="4.42578125" style="2" customWidth="1"/>
    <col min="2067" max="2067" width="34.85546875" style="2" customWidth="1"/>
    <col min="2068" max="2304" width="16" style="2"/>
    <col min="2305" max="2305" width="21.42578125" style="2" customWidth="1"/>
    <col min="2306" max="2306" width="23.5703125" style="2" customWidth="1"/>
    <col min="2307" max="2307" width="15" style="2" customWidth="1"/>
    <col min="2308" max="2308" width="15.140625" style="2" customWidth="1"/>
    <col min="2309" max="2309" width="16" style="2" customWidth="1"/>
    <col min="2310" max="2310" width="16.140625" style="2" customWidth="1"/>
    <col min="2311" max="2311" width="17.140625" style="2" customWidth="1"/>
    <col min="2312" max="2312" width="15.28515625" style="2" customWidth="1"/>
    <col min="2313" max="2313" width="12.7109375" style="2" customWidth="1"/>
    <col min="2314" max="2314" width="15.140625" style="2" customWidth="1"/>
    <col min="2315" max="2315" width="15.28515625" style="2" customWidth="1"/>
    <col min="2316" max="2316" width="23.85546875" style="2" customWidth="1"/>
    <col min="2317" max="2317" width="25.5703125" style="2" customWidth="1"/>
    <col min="2318" max="2318" width="20.5703125" style="2" customWidth="1"/>
    <col min="2319" max="2319" width="16.7109375" style="2" customWidth="1"/>
    <col min="2320" max="2320" width="16" style="2"/>
    <col min="2321" max="2321" width="12.140625" style="2" customWidth="1"/>
    <col min="2322" max="2322" width="4.42578125" style="2" customWidth="1"/>
    <col min="2323" max="2323" width="34.85546875" style="2" customWidth="1"/>
    <col min="2324" max="2560" width="16" style="2"/>
    <col min="2561" max="2561" width="21.42578125" style="2" customWidth="1"/>
    <col min="2562" max="2562" width="23.5703125" style="2" customWidth="1"/>
    <col min="2563" max="2563" width="15" style="2" customWidth="1"/>
    <col min="2564" max="2564" width="15.140625" style="2" customWidth="1"/>
    <col min="2565" max="2565" width="16" style="2" customWidth="1"/>
    <col min="2566" max="2566" width="16.140625" style="2" customWidth="1"/>
    <col min="2567" max="2567" width="17.140625" style="2" customWidth="1"/>
    <col min="2568" max="2568" width="15.28515625" style="2" customWidth="1"/>
    <col min="2569" max="2569" width="12.7109375" style="2" customWidth="1"/>
    <col min="2570" max="2570" width="15.140625" style="2" customWidth="1"/>
    <col min="2571" max="2571" width="15.28515625" style="2" customWidth="1"/>
    <col min="2572" max="2572" width="23.85546875" style="2" customWidth="1"/>
    <col min="2573" max="2573" width="25.5703125" style="2" customWidth="1"/>
    <col min="2574" max="2574" width="20.5703125" style="2" customWidth="1"/>
    <col min="2575" max="2575" width="16.7109375" style="2" customWidth="1"/>
    <col min="2576" max="2576" width="16" style="2"/>
    <col min="2577" max="2577" width="12.140625" style="2" customWidth="1"/>
    <col min="2578" max="2578" width="4.42578125" style="2" customWidth="1"/>
    <col min="2579" max="2579" width="34.85546875" style="2" customWidth="1"/>
    <col min="2580" max="2816" width="16" style="2"/>
    <col min="2817" max="2817" width="21.42578125" style="2" customWidth="1"/>
    <col min="2818" max="2818" width="23.5703125" style="2" customWidth="1"/>
    <col min="2819" max="2819" width="15" style="2" customWidth="1"/>
    <col min="2820" max="2820" width="15.140625" style="2" customWidth="1"/>
    <col min="2821" max="2821" width="16" style="2" customWidth="1"/>
    <col min="2822" max="2822" width="16.140625" style="2" customWidth="1"/>
    <col min="2823" max="2823" width="17.140625" style="2" customWidth="1"/>
    <col min="2824" max="2824" width="15.28515625" style="2" customWidth="1"/>
    <col min="2825" max="2825" width="12.7109375" style="2" customWidth="1"/>
    <col min="2826" max="2826" width="15.140625" style="2" customWidth="1"/>
    <col min="2827" max="2827" width="15.28515625" style="2" customWidth="1"/>
    <col min="2828" max="2828" width="23.85546875" style="2" customWidth="1"/>
    <col min="2829" max="2829" width="25.5703125" style="2" customWidth="1"/>
    <col min="2830" max="2830" width="20.5703125" style="2" customWidth="1"/>
    <col min="2831" max="2831" width="16.7109375" style="2" customWidth="1"/>
    <col min="2832" max="2832" width="16" style="2"/>
    <col min="2833" max="2833" width="12.140625" style="2" customWidth="1"/>
    <col min="2834" max="2834" width="4.42578125" style="2" customWidth="1"/>
    <col min="2835" max="2835" width="34.85546875" style="2" customWidth="1"/>
    <col min="2836" max="3072" width="16" style="2"/>
    <col min="3073" max="3073" width="21.42578125" style="2" customWidth="1"/>
    <col min="3074" max="3074" width="23.5703125" style="2" customWidth="1"/>
    <col min="3075" max="3075" width="15" style="2" customWidth="1"/>
    <col min="3076" max="3076" width="15.140625" style="2" customWidth="1"/>
    <col min="3077" max="3077" width="16" style="2" customWidth="1"/>
    <col min="3078" max="3078" width="16.140625" style="2" customWidth="1"/>
    <col min="3079" max="3079" width="17.140625" style="2" customWidth="1"/>
    <col min="3080" max="3080" width="15.28515625" style="2" customWidth="1"/>
    <col min="3081" max="3081" width="12.7109375" style="2" customWidth="1"/>
    <col min="3082" max="3082" width="15.140625" style="2" customWidth="1"/>
    <col min="3083" max="3083" width="15.28515625" style="2" customWidth="1"/>
    <col min="3084" max="3084" width="23.85546875" style="2" customWidth="1"/>
    <col min="3085" max="3085" width="25.5703125" style="2" customWidth="1"/>
    <col min="3086" max="3086" width="20.5703125" style="2" customWidth="1"/>
    <col min="3087" max="3087" width="16.7109375" style="2" customWidth="1"/>
    <col min="3088" max="3088" width="16" style="2"/>
    <col min="3089" max="3089" width="12.140625" style="2" customWidth="1"/>
    <col min="3090" max="3090" width="4.42578125" style="2" customWidth="1"/>
    <col min="3091" max="3091" width="34.85546875" style="2" customWidth="1"/>
    <col min="3092" max="3328" width="16" style="2"/>
    <col min="3329" max="3329" width="21.42578125" style="2" customWidth="1"/>
    <col min="3330" max="3330" width="23.5703125" style="2" customWidth="1"/>
    <col min="3331" max="3331" width="15" style="2" customWidth="1"/>
    <col min="3332" max="3332" width="15.140625" style="2" customWidth="1"/>
    <col min="3333" max="3333" width="16" style="2" customWidth="1"/>
    <col min="3334" max="3334" width="16.140625" style="2" customWidth="1"/>
    <col min="3335" max="3335" width="17.140625" style="2" customWidth="1"/>
    <col min="3336" max="3336" width="15.28515625" style="2" customWidth="1"/>
    <col min="3337" max="3337" width="12.7109375" style="2" customWidth="1"/>
    <col min="3338" max="3338" width="15.140625" style="2" customWidth="1"/>
    <col min="3339" max="3339" width="15.28515625" style="2" customWidth="1"/>
    <col min="3340" max="3340" width="23.85546875" style="2" customWidth="1"/>
    <col min="3341" max="3341" width="25.5703125" style="2" customWidth="1"/>
    <col min="3342" max="3342" width="20.5703125" style="2" customWidth="1"/>
    <col min="3343" max="3343" width="16.7109375" style="2" customWidth="1"/>
    <col min="3344" max="3344" width="16" style="2"/>
    <col min="3345" max="3345" width="12.140625" style="2" customWidth="1"/>
    <col min="3346" max="3346" width="4.42578125" style="2" customWidth="1"/>
    <col min="3347" max="3347" width="34.85546875" style="2" customWidth="1"/>
    <col min="3348" max="3584" width="16" style="2"/>
    <col min="3585" max="3585" width="21.42578125" style="2" customWidth="1"/>
    <col min="3586" max="3586" width="23.5703125" style="2" customWidth="1"/>
    <col min="3587" max="3587" width="15" style="2" customWidth="1"/>
    <col min="3588" max="3588" width="15.140625" style="2" customWidth="1"/>
    <col min="3589" max="3589" width="16" style="2" customWidth="1"/>
    <col min="3590" max="3590" width="16.140625" style="2" customWidth="1"/>
    <col min="3591" max="3591" width="17.140625" style="2" customWidth="1"/>
    <col min="3592" max="3592" width="15.28515625" style="2" customWidth="1"/>
    <col min="3593" max="3593" width="12.7109375" style="2" customWidth="1"/>
    <col min="3594" max="3594" width="15.140625" style="2" customWidth="1"/>
    <col min="3595" max="3595" width="15.28515625" style="2" customWidth="1"/>
    <col min="3596" max="3596" width="23.85546875" style="2" customWidth="1"/>
    <col min="3597" max="3597" width="25.5703125" style="2" customWidth="1"/>
    <col min="3598" max="3598" width="20.5703125" style="2" customWidth="1"/>
    <col min="3599" max="3599" width="16.7109375" style="2" customWidth="1"/>
    <col min="3600" max="3600" width="16" style="2"/>
    <col min="3601" max="3601" width="12.140625" style="2" customWidth="1"/>
    <col min="3602" max="3602" width="4.42578125" style="2" customWidth="1"/>
    <col min="3603" max="3603" width="34.85546875" style="2" customWidth="1"/>
    <col min="3604" max="3840" width="16" style="2"/>
    <col min="3841" max="3841" width="21.42578125" style="2" customWidth="1"/>
    <col min="3842" max="3842" width="23.5703125" style="2" customWidth="1"/>
    <col min="3843" max="3843" width="15" style="2" customWidth="1"/>
    <col min="3844" max="3844" width="15.140625" style="2" customWidth="1"/>
    <col min="3845" max="3845" width="16" style="2" customWidth="1"/>
    <col min="3846" max="3846" width="16.140625" style="2" customWidth="1"/>
    <col min="3847" max="3847" width="17.140625" style="2" customWidth="1"/>
    <col min="3848" max="3848" width="15.28515625" style="2" customWidth="1"/>
    <col min="3849" max="3849" width="12.7109375" style="2" customWidth="1"/>
    <col min="3850" max="3850" width="15.140625" style="2" customWidth="1"/>
    <col min="3851" max="3851" width="15.28515625" style="2" customWidth="1"/>
    <col min="3852" max="3852" width="23.85546875" style="2" customWidth="1"/>
    <col min="3853" max="3853" width="25.5703125" style="2" customWidth="1"/>
    <col min="3854" max="3854" width="20.5703125" style="2" customWidth="1"/>
    <col min="3855" max="3855" width="16.7109375" style="2" customWidth="1"/>
    <col min="3856" max="3856" width="16" style="2"/>
    <col min="3857" max="3857" width="12.140625" style="2" customWidth="1"/>
    <col min="3858" max="3858" width="4.42578125" style="2" customWidth="1"/>
    <col min="3859" max="3859" width="34.85546875" style="2" customWidth="1"/>
    <col min="3860" max="4096" width="16" style="2"/>
    <col min="4097" max="4097" width="21.42578125" style="2" customWidth="1"/>
    <col min="4098" max="4098" width="23.5703125" style="2" customWidth="1"/>
    <col min="4099" max="4099" width="15" style="2" customWidth="1"/>
    <col min="4100" max="4100" width="15.140625" style="2" customWidth="1"/>
    <col min="4101" max="4101" width="16" style="2" customWidth="1"/>
    <col min="4102" max="4102" width="16.140625" style="2" customWidth="1"/>
    <col min="4103" max="4103" width="17.140625" style="2" customWidth="1"/>
    <col min="4104" max="4104" width="15.28515625" style="2" customWidth="1"/>
    <col min="4105" max="4105" width="12.7109375" style="2" customWidth="1"/>
    <col min="4106" max="4106" width="15.140625" style="2" customWidth="1"/>
    <col min="4107" max="4107" width="15.28515625" style="2" customWidth="1"/>
    <col min="4108" max="4108" width="23.85546875" style="2" customWidth="1"/>
    <col min="4109" max="4109" width="25.5703125" style="2" customWidth="1"/>
    <col min="4110" max="4110" width="20.5703125" style="2" customWidth="1"/>
    <col min="4111" max="4111" width="16.7109375" style="2" customWidth="1"/>
    <col min="4112" max="4112" width="16" style="2"/>
    <col min="4113" max="4113" width="12.140625" style="2" customWidth="1"/>
    <col min="4114" max="4114" width="4.42578125" style="2" customWidth="1"/>
    <col min="4115" max="4115" width="34.85546875" style="2" customWidth="1"/>
    <col min="4116" max="4352" width="16" style="2"/>
    <col min="4353" max="4353" width="21.42578125" style="2" customWidth="1"/>
    <col min="4354" max="4354" width="23.5703125" style="2" customWidth="1"/>
    <col min="4355" max="4355" width="15" style="2" customWidth="1"/>
    <col min="4356" max="4356" width="15.140625" style="2" customWidth="1"/>
    <col min="4357" max="4357" width="16" style="2" customWidth="1"/>
    <col min="4358" max="4358" width="16.140625" style="2" customWidth="1"/>
    <col min="4359" max="4359" width="17.140625" style="2" customWidth="1"/>
    <col min="4360" max="4360" width="15.28515625" style="2" customWidth="1"/>
    <col min="4361" max="4361" width="12.7109375" style="2" customWidth="1"/>
    <col min="4362" max="4362" width="15.140625" style="2" customWidth="1"/>
    <col min="4363" max="4363" width="15.28515625" style="2" customWidth="1"/>
    <col min="4364" max="4364" width="23.85546875" style="2" customWidth="1"/>
    <col min="4365" max="4365" width="25.5703125" style="2" customWidth="1"/>
    <col min="4366" max="4366" width="20.5703125" style="2" customWidth="1"/>
    <col min="4367" max="4367" width="16.7109375" style="2" customWidth="1"/>
    <col min="4368" max="4368" width="16" style="2"/>
    <col min="4369" max="4369" width="12.140625" style="2" customWidth="1"/>
    <col min="4370" max="4370" width="4.42578125" style="2" customWidth="1"/>
    <col min="4371" max="4371" width="34.85546875" style="2" customWidth="1"/>
    <col min="4372" max="4608" width="16" style="2"/>
    <col min="4609" max="4609" width="21.42578125" style="2" customWidth="1"/>
    <col min="4610" max="4610" width="23.5703125" style="2" customWidth="1"/>
    <col min="4611" max="4611" width="15" style="2" customWidth="1"/>
    <col min="4612" max="4612" width="15.140625" style="2" customWidth="1"/>
    <col min="4613" max="4613" width="16" style="2" customWidth="1"/>
    <col min="4614" max="4614" width="16.140625" style="2" customWidth="1"/>
    <col min="4615" max="4615" width="17.140625" style="2" customWidth="1"/>
    <col min="4616" max="4616" width="15.28515625" style="2" customWidth="1"/>
    <col min="4617" max="4617" width="12.7109375" style="2" customWidth="1"/>
    <col min="4618" max="4618" width="15.140625" style="2" customWidth="1"/>
    <col min="4619" max="4619" width="15.28515625" style="2" customWidth="1"/>
    <col min="4620" max="4620" width="23.85546875" style="2" customWidth="1"/>
    <col min="4621" max="4621" width="25.5703125" style="2" customWidth="1"/>
    <col min="4622" max="4622" width="20.5703125" style="2" customWidth="1"/>
    <col min="4623" max="4623" width="16.7109375" style="2" customWidth="1"/>
    <col min="4624" max="4624" width="16" style="2"/>
    <col min="4625" max="4625" width="12.140625" style="2" customWidth="1"/>
    <col min="4626" max="4626" width="4.42578125" style="2" customWidth="1"/>
    <col min="4627" max="4627" width="34.85546875" style="2" customWidth="1"/>
    <col min="4628" max="4864" width="16" style="2"/>
    <col min="4865" max="4865" width="21.42578125" style="2" customWidth="1"/>
    <col min="4866" max="4866" width="23.5703125" style="2" customWidth="1"/>
    <col min="4867" max="4867" width="15" style="2" customWidth="1"/>
    <col min="4868" max="4868" width="15.140625" style="2" customWidth="1"/>
    <col min="4869" max="4869" width="16" style="2" customWidth="1"/>
    <col min="4870" max="4870" width="16.140625" style="2" customWidth="1"/>
    <col min="4871" max="4871" width="17.140625" style="2" customWidth="1"/>
    <col min="4872" max="4872" width="15.28515625" style="2" customWidth="1"/>
    <col min="4873" max="4873" width="12.7109375" style="2" customWidth="1"/>
    <col min="4874" max="4874" width="15.140625" style="2" customWidth="1"/>
    <col min="4875" max="4875" width="15.28515625" style="2" customWidth="1"/>
    <col min="4876" max="4876" width="23.85546875" style="2" customWidth="1"/>
    <col min="4877" max="4877" width="25.5703125" style="2" customWidth="1"/>
    <col min="4878" max="4878" width="20.5703125" style="2" customWidth="1"/>
    <col min="4879" max="4879" width="16.7109375" style="2" customWidth="1"/>
    <col min="4880" max="4880" width="16" style="2"/>
    <col min="4881" max="4881" width="12.140625" style="2" customWidth="1"/>
    <col min="4882" max="4882" width="4.42578125" style="2" customWidth="1"/>
    <col min="4883" max="4883" width="34.85546875" style="2" customWidth="1"/>
    <col min="4884" max="5120" width="16" style="2"/>
    <col min="5121" max="5121" width="21.42578125" style="2" customWidth="1"/>
    <col min="5122" max="5122" width="23.5703125" style="2" customWidth="1"/>
    <col min="5123" max="5123" width="15" style="2" customWidth="1"/>
    <col min="5124" max="5124" width="15.140625" style="2" customWidth="1"/>
    <col min="5125" max="5125" width="16" style="2" customWidth="1"/>
    <col min="5126" max="5126" width="16.140625" style="2" customWidth="1"/>
    <col min="5127" max="5127" width="17.140625" style="2" customWidth="1"/>
    <col min="5128" max="5128" width="15.28515625" style="2" customWidth="1"/>
    <col min="5129" max="5129" width="12.7109375" style="2" customWidth="1"/>
    <col min="5130" max="5130" width="15.140625" style="2" customWidth="1"/>
    <col min="5131" max="5131" width="15.28515625" style="2" customWidth="1"/>
    <col min="5132" max="5132" width="23.85546875" style="2" customWidth="1"/>
    <col min="5133" max="5133" width="25.5703125" style="2" customWidth="1"/>
    <col min="5134" max="5134" width="20.5703125" style="2" customWidth="1"/>
    <col min="5135" max="5135" width="16.7109375" style="2" customWidth="1"/>
    <col min="5136" max="5136" width="16" style="2"/>
    <col min="5137" max="5137" width="12.140625" style="2" customWidth="1"/>
    <col min="5138" max="5138" width="4.42578125" style="2" customWidth="1"/>
    <col min="5139" max="5139" width="34.85546875" style="2" customWidth="1"/>
    <col min="5140" max="5376" width="16" style="2"/>
    <col min="5377" max="5377" width="21.42578125" style="2" customWidth="1"/>
    <col min="5378" max="5378" width="23.5703125" style="2" customWidth="1"/>
    <col min="5379" max="5379" width="15" style="2" customWidth="1"/>
    <col min="5380" max="5380" width="15.140625" style="2" customWidth="1"/>
    <col min="5381" max="5381" width="16" style="2" customWidth="1"/>
    <col min="5382" max="5382" width="16.140625" style="2" customWidth="1"/>
    <col min="5383" max="5383" width="17.140625" style="2" customWidth="1"/>
    <col min="5384" max="5384" width="15.28515625" style="2" customWidth="1"/>
    <col min="5385" max="5385" width="12.7109375" style="2" customWidth="1"/>
    <col min="5386" max="5386" width="15.140625" style="2" customWidth="1"/>
    <col min="5387" max="5387" width="15.28515625" style="2" customWidth="1"/>
    <col min="5388" max="5388" width="23.85546875" style="2" customWidth="1"/>
    <col min="5389" max="5389" width="25.5703125" style="2" customWidth="1"/>
    <col min="5390" max="5390" width="20.5703125" style="2" customWidth="1"/>
    <col min="5391" max="5391" width="16.7109375" style="2" customWidth="1"/>
    <col min="5392" max="5392" width="16" style="2"/>
    <col min="5393" max="5393" width="12.140625" style="2" customWidth="1"/>
    <col min="5394" max="5394" width="4.42578125" style="2" customWidth="1"/>
    <col min="5395" max="5395" width="34.85546875" style="2" customWidth="1"/>
    <col min="5396" max="5632" width="16" style="2"/>
    <col min="5633" max="5633" width="21.42578125" style="2" customWidth="1"/>
    <col min="5634" max="5634" width="23.5703125" style="2" customWidth="1"/>
    <col min="5635" max="5635" width="15" style="2" customWidth="1"/>
    <col min="5636" max="5636" width="15.140625" style="2" customWidth="1"/>
    <col min="5637" max="5637" width="16" style="2" customWidth="1"/>
    <col min="5638" max="5638" width="16.140625" style="2" customWidth="1"/>
    <col min="5639" max="5639" width="17.140625" style="2" customWidth="1"/>
    <col min="5640" max="5640" width="15.28515625" style="2" customWidth="1"/>
    <col min="5641" max="5641" width="12.7109375" style="2" customWidth="1"/>
    <col min="5642" max="5642" width="15.140625" style="2" customWidth="1"/>
    <col min="5643" max="5643" width="15.28515625" style="2" customWidth="1"/>
    <col min="5644" max="5644" width="23.85546875" style="2" customWidth="1"/>
    <col min="5645" max="5645" width="25.5703125" style="2" customWidth="1"/>
    <col min="5646" max="5646" width="20.5703125" style="2" customWidth="1"/>
    <col min="5647" max="5647" width="16.7109375" style="2" customWidth="1"/>
    <col min="5648" max="5648" width="16" style="2"/>
    <col min="5649" max="5649" width="12.140625" style="2" customWidth="1"/>
    <col min="5650" max="5650" width="4.42578125" style="2" customWidth="1"/>
    <col min="5651" max="5651" width="34.85546875" style="2" customWidth="1"/>
    <col min="5652" max="5888" width="16" style="2"/>
    <col min="5889" max="5889" width="21.42578125" style="2" customWidth="1"/>
    <col min="5890" max="5890" width="23.5703125" style="2" customWidth="1"/>
    <col min="5891" max="5891" width="15" style="2" customWidth="1"/>
    <col min="5892" max="5892" width="15.140625" style="2" customWidth="1"/>
    <col min="5893" max="5893" width="16" style="2" customWidth="1"/>
    <col min="5894" max="5894" width="16.140625" style="2" customWidth="1"/>
    <col min="5895" max="5895" width="17.140625" style="2" customWidth="1"/>
    <col min="5896" max="5896" width="15.28515625" style="2" customWidth="1"/>
    <col min="5897" max="5897" width="12.7109375" style="2" customWidth="1"/>
    <col min="5898" max="5898" width="15.140625" style="2" customWidth="1"/>
    <col min="5899" max="5899" width="15.28515625" style="2" customWidth="1"/>
    <col min="5900" max="5900" width="23.85546875" style="2" customWidth="1"/>
    <col min="5901" max="5901" width="25.5703125" style="2" customWidth="1"/>
    <col min="5902" max="5902" width="20.5703125" style="2" customWidth="1"/>
    <col min="5903" max="5903" width="16.7109375" style="2" customWidth="1"/>
    <col min="5904" max="5904" width="16" style="2"/>
    <col min="5905" max="5905" width="12.140625" style="2" customWidth="1"/>
    <col min="5906" max="5906" width="4.42578125" style="2" customWidth="1"/>
    <col min="5907" max="5907" width="34.85546875" style="2" customWidth="1"/>
    <col min="5908" max="6144" width="16" style="2"/>
    <col min="6145" max="6145" width="21.42578125" style="2" customWidth="1"/>
    <col min="6146" max="6146" width="23.5703125" style="2" customWidth="1"/>
    <col min="6147" max="6147" width="15" style="2" customWidth="1"/>
    <col min="6148" max="6148" width="15.140625" style="2" customWidth="1"/>
    <col min="6149" max="6149" width="16" style="2" customWidth="1"/>
    <col min="6150" max="6150" width="16.140625" style="2" customWidth="1"/>
    <col min="6151" max="6151" width="17.140625" style="2" customWidth="1"/>
    <col min="6152" max="6152" width="15.28515625" style="2" customWidth="1"/>
    <col min="6153" max="6153" width="12.7109375" style="2" customWidth="1"/>
    <col min="6154" max="6154" width="15.140625" style="2" customWidth="1"/>
    <col min="6155" max="6155" width="15.28515625" style="2" customWidth="1"/>
    <col min="6156" max="6156" width="23.85546875" style="2" customWidth="1"/>
    <col min="6157" max="6157" width="25.5703125" style="2" customWidth="1"/>
    <col min="6158" max="6158" width="20.5703125" style="2" customWidth="1"/>
    <col min="6159" max="6159" width="16.7109375" style="2" customWidth="1"/>
    <col min="6160" max="6160" width="16" style="2"/>
    <col min="6161" max="6161" width="12.140625" style="2" customWidth="1"/>
    <col min="6162" max="6162" width="4.42578125" style="2" customWidth="1"/>
    <col min="6163" max="6163" width="34.85546875" style="2" customWidth="1"/>
    <col min="6164" max="6400" width="16" style="2"/>
    <col min="6401" max="6401" width="21.42578125" style="2" customWidth="1"/>
    <col min="6402" max="6402" width="23.5703125" style="2" customWidth="1"/>
    <col min="6403" max="6403" width="15" style="2" customWidth="1"/>
    <col min="6404" max="6404" width="15.140625" style="2" customWidth="1"/>
    <col min="6405" max="6405" width="16" style="2" customWidth="1"/>
    <col min="6406" max="6406" width="16.140625" style="2" customWidth="1"/>
    <col min="6407" max="6407" width="17.140625" style="2" customWidth="1"/>
    <col min="6408" max="6408" width="15.28515625" style="2" customWidth="1"/>
    <col min="6409" max="6409" width="12.7109375" style="2" customWidth="1"/>
    <col min="6410" max="6410" width="15.140625" style="2" customWidth="1"/>
    <col min="6411" max="6411" width="15.28515625" style="2" customWidth="1"/>
    <col min="6412" max="6412" width="23.85546875" style="2" customWidth="1"/>
    <col min="6413" max="6413" width="25.5703125" style="2" customWidth="1"/>
    <col min="6414" max="6414" width="20.5703125" style="2" customWidth="1"/>
    <col min="6415" max="6415" width="16.7109375" style="2" customWidth="1"/>
    <col min="6416" max="6416" width="16" style="2"/>
    <col min="6417" max="6417" width="12.140625" style="2" customWidth="1"/>
    <col min="6418" max="6418" width="4.42578125" style="2" customWidth="1"/>
    <col min="6419" max="6419" width="34.85546875" style="2" customWidth="1"/>
    <col min="6420" max="6656" width="16" style="2"/>
    <col min="6657" max="6657" width="21.42578125" style="2" customWidth="1"/>
    <col min="6658" max="6658" width="23.5703125" style="2" customWidth="1"/>
    <col min="6659" max="6659" width="15" style="2" customWidth="1"/>
    <col min="6660" max="6660" width="15.140625" style="2" customWidth="1"/>
    <col min="6661" max="6661" width="16" style="2" customWidth="1"/>
    <col min="6662" max="6662" width="16.140625" style="2" customWidth="1"/>
    <col min="6663" max="6663" width="17.140625" style="2" customWidth="1"/>
    <col min="6664" max="6664" width="15.28515625" style="2" customWidth="1"/>
    <col min="6665" max="6665" width="12.7109375" style="2" customWidth="1"/>
    <col min="6666" max="6666" width="15.140625" style="2" customWidth="1"/>
    <col min="6667" max="6667" width="15.28515625" style="2" customWidth="1"/>
    <col min="6668" max="6668" width="23.85546875" style="2" customWidth="1"/>
    <col min="6669" max="6669" width="25.5703125" style="2" customWidth="1"/>
    <col min="6670" max="6670" width="20.5703125" style="2" customWidth="1"/>
    <col min="6671" max="6671" width="16.7109375" style="2" customWidth="1"/>
    <col min="6672" max="6672" width="16" style="2"/>
    <col min="6673" max="6673" width="12.140625" style="2" customWidth="1"/>
    <col min="6674" max="6674" width="4.42578125" style="2" customWidth="1"/>
    <col min="6675" max="6675" width="34.85546875" style="2" customWidth="1"/>
    <col min="6676" max="6912" width="16" style="2"/>
    <col min="6913" max="6913" width="21.42578125" style="2" customWidth="1"/>
    <col min="6914" max="6914" width="23.5703125" style="2" customWidth="1"/>
    <col min="6915" max="6915" width="15" style="2" customWidth="1"/>
    <col min="6916" max="6916" width="15.140625" style="2" customWidth="1"/>
    <col min="6917" max="6917" width="16" style="2" customWidth="1"/>
    <col min="6918" max="6918" width="16.140625" style="2" customWidth="1"/>
    <col min="6919" max="6919" width="17.140625" style="2" customWidth="1"/>
    <col min="6920" max="6920" width="15.28515625" style="2" customWidth="1"/>
    <col min="6921" max="6921" width="12.7109375" style="2" customWidth="1"/>
    <col min="6922" max="6922" width="15.140625" style="2" customWidth="1"/>
    <col min="6923" max="6923" width="15.28515625" style="2" customWidth="1"/>
    <col min="6924" max="6924" width="23.85546875" style="2" customWidth="1"/>
    <col min="6925" max="6925" width="25.5703125" style="2" customWidth="1"/>
    <col min="6926" max="6926" width="20.5703125" style="2" customWidth="1"/>
    <col min="6927" max="6927" width="16.7109375" style="2" customWidth="1"/>
    <col min="6928" max="6928" width="16" style="2"/>
    <col min="6929" max="6929" width="12.140625" style="2" customWidth="1"/>
    <col min="6930" max="6930" width="4.42578125" style="2" customWidth="1"/>
    <col min="6931" max="6931" width="34.85546875" style="2" customWidth="1"/>
    <col min="6932" max="7168" width="16" style="2"/>
    <col min="7169" max="7169" width="21.42578125" style="2" customWidth="1"/>
    <col min="7170" max="7170" width="23.5703125" style="2" customWidth="1"/>
    <col min="7171" max="7171" width="15" style="2" customWidth="1"/>
    <col min="7172" max="7172" width="15.140625" style="2" customWidth="1"/>
    <col min="7173" max="7173" width="16" style="2" customWidth="1"/>
    <col min="7174" max="7174" width="16.140625" style="2" customWidth="1"/>
    <col min="7175" max="7175" width="17.140625" style="2" customWidth="1"/>
    <col min="7176" max="7176" width="15.28515625" style="2" customWidth="1"/>
    <col min="7177" max="7177" width="12.7109375" style="2" customWidth="1"/>
    <col min="7178" max="7178" width="15.140625" style="2" customWidth="1"/>
    <col min="7179" max="7179" width="15.28515625" style="2" customWidth="1"/>
    <col min="7180" max="7180" width="23.85546875" style="2" customWidth="1"/>
    <col min="7181" max="7181" width="25.5703125" style="2" customWidth="1"/>
    <col min="7182" max="7182" width="20.5703125" style="2" customWidth="1"/>
    <col min="7183" max="7183" width="16.7109375" style="2" customWidth="1"/>
    <col min="7184" max="7184" width="16" style="2"/>
    <col min="7185" max="7185" width="12.140625" style="2" customWidth="1"/>
    <col min="7186" max="7186" width="4.42578125" style="2" customWidth="1"/>
    <col min="7187" max="7187" width="34.85546875" style="2" customWidth="1"/>
    <col min="7188" max="7424" width="16" style="2"/>
    <col min="7425" max="7425" width="21.42578125" style="2" customWidth="1"/>
    <col min="7426" max="7426" width="23.5703125" style="2" customWidth="1"/>
    <col min="7427" max="7427" width="15" style="2" customWidth="1"/>
    <col min="7428" max="7428" width="15.140625" style="2" customWidth="1"/>
    <col min="7429" max="7429" width="16" style="2" customWidth="1"/>
    <col min="7430" max="7430" width="16.140625" style="2" customWidth="1"/>
    <col min="7431" max="7431" width="17.140625" style="2" customWidth="1"/>
    <col min="7432" max="7432" width="15.28515625" style="2" customWidth="1"/>
    <col min="7433" max="7433" width="12.7109375" style="2" customWidth="1"/>
    <col min="7434" max="7434" width="15.140625" style="2" customWidth="1"/>
    <col min="7435" max="7435" width="15.28515625" style="2" customWidth="1"/>
    <col min="7436" max="7436" width="23.85546875" style="2" customWidth="1"/>
    <col min="7437" max="7437" width="25.5703125" style="2" customWidth="1"/>
    <col min="7438" max="7438" width="20.5703125" style="2" customWidth="1"/>
    <col min="7439" max="7439" width="16.7109375" style="2" customWidth="1"/>
    <col min="7440" max="7440" width="16" style="2"/>
    <col min="7441" max="7441" width="12.140625" style="2" customWidth="1"/>
    <col min="7442" max="7442" width="4.42578125" style="2" customWidth="1"/>
    <col min="7443" max="7443" width="34.85546875" style="2" customWidth="1"/>
    <col min="7444" max="7680" width="16" style="2"/>
    <col min="7681" max="7681" width="21.42578125" style="2" customWidth="1"/>
    <col min="7682" max="7682" width="23.5703125" style="2" customWidth="1"/>
    <col min="7683" max="7683" width="15" style="2" customWidth="1"/>
    <col min="7684" max="7684" width="15.140625" style="2" customWidth="1"/>
    <col min="7685" max="7685" width="16" style="2" customWidth="1"/>
    <col min="7686" max="7686" width="16.140625" style="2" customWidth="1"/>
    <col min="7687" max="7687" width="17.140625" style="2" customWidth="1"/>
    <col min="7688" max="7688" width="15.28515625" style="2" customWidth="1"/>
    <col min="7689" max="7689" width="12.7109375" style="2" customWidth="1"/>
    <col min="7690" max="7690" width="15.140625" style="2" customWidth="1"/>
    <col min="7691" max="7691" width="15.28515625" style="2" customWidth="1"/>
    <col min="7692" max="7692" width="23.85546875" style="2" customWidth="1"/>
    <col min="7693" max="7693" width="25.5703125" style="2" customWidth="1"/>
    <col min="7694" max="7694" width="20.5703125" style="2" customWidth="1"/>
    <col min="7695" max="7695" width="16.7109375" style="2" customWidth="1"/>
    <col min="7696" max="7696" width="16" style="2"/>
    <col min="7697" max="7697" width="12.140625" style="2" customWidth="1"/>
    <col min="7698" max="7698" width="4.42578125" style="2" customWidth="1"/>
    <col min="7699" max="7699" width="34.85546875" style="2" customWidth="1"/>
    <col min="7700" max="7936" width="16" style="2"/>
    <col min="7937" max="7937" width="21.42578125" style="2" customWidth="1"/>
    <col min="7938" max="7938" width="23.5703125" style="2" customWidth="1"/>
    <col min="7939" max="7939" width="15" style="2" customWidth="1"/>
    <col min="7940" max="7940" width="15.140625" style="2" customWidth="1"/>
    <col min="7941" max="7941" width="16" style="2" customWidth="1"/>
    <col min="7942" max="7942" width="16.140625" style="2" customWidth="1"/>
    <col min="7943" max="7943" width="17.140625" style="2" customWidth="1"/>
    <col min="7944" max="7944" width="15.28515625" style="2" customWidth="1"/>
    <col min="7945" max="7945" width="12.7109375" style="2" customWidth="1"/>
    <col min="7946" max="7946" width="15.140625" style="2" customWidth="1"/>
    <col min="7947" max="7947" width="15.28515625" style="2" customWidth="1"/>
    <col min="7948" max="7948" width="23.85546875" style="2" customWidth="1"/>
    <col min="7949" max="7949" width="25.5703125" style="2" customWidth="1"/>
    <col min="7950" max="7950" width="20.5703125" style="2" customWidth="1"/>
    <col min="7951" max="7951" width="16.7109375" style="2" customWidth="1"/>
    <col min="7952" max="7952" width="16" style="2"/>
    <col min="7953" max="7953" width="12.140625" style="2" customWidth="1"/>
    <col min="7954" max="7954" width="4.42578125" style="2" customWidth="1"/>
    <col min="7955" max="7955" width="34.85546875" style="2" customWidth="1"/>
    <col min="7956" max="8192" width="16" style="2"/>
    <col min="8193" max="8193" width="21.42578125" style="2" customWidth="1"/>
    <col min="8194" max="8194" width="23.5703125" style="2" customWidth="1"/>
    <col min="8195" max="8195" width="15" style="2" customWidth="1"/>
    <col min="8196" max="8196" width="15.140625" style="2" customWidth="1"/>
    <col min="8197" max="8197" width="16" style="2" customWidth="1"/>
    <col min="8198" max="8198" width="16.140625" style="2" customWidth="1"/>
    <col min="8199" max="8199" width="17.140625" style="2" customWidth="1"/>
    <col min="8200" max="8200" width="15.28515625" style="2" customWidth="1"/>
    <col min="8201" max="8201" width="12.7109375" style="2" customWidth="1"/>
    <col min="8202" max="8202" width="15.140625" style="2" customWidth="1"/>
    <col min="8203" max="8203" width="15.28515625" style="2" customWidth="1"/>
    <col min="8204" max="8204" width="23.85546875" style="2" customWidth="1"/>
    <col min="8205" max="8205" width="25.5703125" style="2" customWidth="1"/>
    <col min="8206" max="8206" width="20.5703125" style="2" customWidth="1"/>
    <col min="8207" max="8207" width="16.7109375" style="2" customWidth="1"/>
    <col min="8208" max="8208" width="16" style="2"/>
    <col min="8209" max="8209" width="12.140625" style="2" customWidth="1"/>
    <col min="8210" max="8210" width="4.42578125" style="2" customWidth="1"/>
    <col min="8211" max="8211" width="34.85546875" style="2" customWidth="1"/>
    <col min="8212" max="8448" width="16" style="2"/>
    <col min="8449" max="8449" width="21.42578125" style="2" customWidth="1"/>
    <col min="8450" max="8450" width="23.5703125" style="2" customWidth="1"/>
    <col min="8451" max="8451" width="15" style="2" customWidth="1"/>
    <col min="8452" max="8452" width="15.140625" style="2" customWidth="1"/>
    <col min="8453" max="8453" width="16" style="2" customWidth="1"/>
    <col min="8454" max="8454" width="16.140625" style="2" customWidth="1"/>
    <col min="8455" max="8455" width="17.140625" style="2" customWidth="1"/>
    <col min="8456" max="8456" width="15.28515625" style="2" customWidth="1"/>
    <col min="8457" max="8457" width="12.7109375" style="2" customWidth="1"/>
    <col min="8458" max="8458" width="15.140625" style="2" customWidth="1"/>
    <col min="8459" max="8459" width="15.28515625" style="2" customWidth="1"/>
    <col min="8460" max="8460" width="23.85546875" style="2" customWidth="1"/>
    <col min="8461" max="8461" width="25.5703125" style="2" customWidth="1"/>
    <col min="8462" max="8462" width="20.5703125" style="2" customWidth="1"/>
    <col min="8463" max="8463" width="16.7109375" style="2" customWidth="1"/>
    <col min="8464" max="8464" width="16" style="2"/>
    <col min="8465" max="8465" width="12.140625" style="2" customWidth="1"/>
    <col min="8466" max="8466" width="4.42578125" style="2" customWidth="1"/>
    <col min="8467" max="8467" width="34.85546875" style="2" customWidth="1"/>
    <col min="8468" max="8704" width="16" style="2"/>
    <col min="8705" max="8705" width="21.42578125" style="2" customWidth="1"/>
    <col min="8706" max="8706" width="23.5703125" style="2" customWidth="1"/>
    <col min="8707" max="8707" width="15" style="2" customWidth="1"/>
    <col min="8708" max="8708" width="15.140625" style="2" customWidth="1"/>
    <col min="8709" max="8709" width="16" style="2" customWidth="1"/>
    <col min="8710" max="8710" width="16.140625" style="2" customWidth="1"/>
    <col min="8711" max="8711" width="17.140625" style="2" customWidth="1"/>
    <col min="8712" max="8712" width="15.28515625" style="2" customWidth="1"/>
    <col min="8713" max="8713" width="12.7109375" style="2" customWidth="1"/>
    <col min="8714" max="8714" width="15.140625" style="2" customWidth="1"/>
    <col min="8715" max="8715" width="15.28515625" style="2" customWidth="1"/>
    <col min="8716" max="8716" width="23.85546875" style="2" customWidth="1"/>
    <col min="8717" max="8717" width="25.5703125" style="2" customWidth="1"/>
    <col min="8718" max="8718" width="20.5703125" style="2" customWidth="1"/>
    <col min="8719" max="8719" width="16.7109375" style="2" customWidth="1"/>
    <col min="8720" max="8720" width="16" style="2"/>
    <col min="8721" max="8721" width="12.140625" style="2" customWidth="1"/>
    <col min="8722" max="8722" width="4.42578125" style="2" customWidth="1"/>
    <col min="8723" max="8723" width="34.85546875" style="2" customWidth="1"/>
    <col min="8724" max="8960" width="16" style="2"/>
    <col min="8961" max="8961" width="21.42578125" style="2" customWidth="1"/>
    <col min="8962" max="8962" width="23.5703125" style="2" customWidth="1"/>
    <col min="8963" max="8963" width="15" style="2" customWidth="1"/>
    <col min="8964" max="8964" width="15.140625" style="2" customWidth="1"/>
    <col min="8965" max="8965" width="16" style="2" customWidth="1"/>
    <col min="8966" max="8966" width="16.140625" style="2" customWidth="1"/>
    <col min="8967" max="8967" width="17.140625" style="2" customWidth="1"/>
    <col min="8968" max="8968" width="15.28515625" style="2" customWidth="1"/>
    <col min="8969" max="8969" width="12.7109375" style="2" customWidth="1"/>
    <col min="8970" max="8970" width="15.140625" style="2" customWidth="1"/>
    <col min="8971" max="8971" width="15.28515625" style="2" customWidth="1"/>
    <col min="8972" max="8972" width="23.85546875" style="2" customWidth="1"/>
    <col min="8973" max="8973" width="25.5703125" style="2" customWidth="1"/>
    <col min="8974" max="8974" width="20.5703125" style="2" customWidth="1"/>
    <col min="8975" max="8975" width="16.7109375" style="2" customWidth="1"/>
    <col min="8976" max="8976" width="16" style="2"/>
    <col min="8977" max="8977" width="12.140625" style="2" customWidth="1"/>
    <col min="8978" max="8978" width="4.42578125" style="2" customWidth="1"/>
    <col min="8979" max="8979" width="34.85546875" style="2" customWidth="1"/>
    <col min="8980" max="9216" width="16" style="2"/>
    <col min="9217" max="9217" width="21.42578125" style="2" customWidth="1"/>
    <col min="9218" max="9218" width="23.5703125" style="2" customWidth="1"/>
    <col min="9219" max="9219" width="15" style="2" customWidth="1"/>
    <col min="9220" max="9220" width="15.140625" style="2" customWidth="1"/>
    <col min="9221" max="9221" width="16" style="2" customWidth="1"/>
    <col min="9222" max="9222" width="16.140625" style="2" customWidth="1"/>
    <col min="9223" max="9223" width="17.140625" style="2" customWidth="1"/>
    <col min="9224" max="9224" width="15.28515625" style="2" customWidth="1"/>
    <col min="9225" max="9225" width="12.7109375" style="2" customWidth="1"/>
    <col min="9226" max="9226" width="15.140625" style="2" customWidth="1"/>
    <col min="9227" max="9227" width="15.28515625" style="2" customWidth="1"/>
    <col min="9228" max="9228" width="23.85546875" style="2" customWidth="1"/>
    <col min="9229" max="9229" width="25.5703125" style="2" customWidth="1"/>
    <col min="9230" max="9230" width="20.5703125" style="2" customWidth="1"/>
    <col min="9231" max="9231" width="16.7109375" style="2" customWidth="1"/>
    <col min="9232" max="9232" width="16" style="2"/>
    <col min="9233" max="9233" width="12.140625" style="2" customWidth="1"/>
    <col min="9234" max="9234" width="4.42578125" style="2" customWidth="1"/>
    <col min="9235" max="9235" width="34.85546875" style="2" customWidth="1"/>
    <col min="9236" max="9472" width="16" style="2"/>
    <col min="9473" max="9473" width="21.42578125" style="2" customWidth="1"/>
    <col min="9474" max="9474" width="23.5703125" style="2" customWidth="1"/>
    <col min="9475" max="9475" width="15" style="2" customWidth="1"/>
    <col min="9476" max="9476" width="15.140625" style="2" customWidth="1"/>
    <col min="9477" max="9477" width="16" style="2" customWidth="1"/>
    <col min="9478" max="9478" width="16.140625" style="2" customWidth="1"/>
    <col min="9479" max="9479" width="17.140625" style="2" customWidth="1"/>
    <col min="9480" max="9480" width="15.28515625" style="2" customWidth="1"/>
    <col min="9481" max="9481" width="12.7109375" style="2" customWidth="1"/>
    <col min="9482" max="9482" width="15.140625" style="2" customWidth="1"/>
    <col min="9483" max="9483" width="15.28515625" style="2" customWidth="1"/>
    <col min="9484" max="9484" width="23.85546875" style="2" customWidth="1"/>
    <col min="9485" max="9485" width="25.5703125" style="2" customWidth="1"/>
    <col min="9486" max="9486" width="20.5703125" style="2" customWidth="1"/>
    <col min="9487" max="9487" width="16.7109375" style="2" customWidth="1"/>
    <col min="9488" max="9488" width="16" style="2"/>
    <col min="9489" max="9489" width="12.140625" style="2" customWidth="1"/>
    <col min="9490" max="9490" width="4.42578125" style="2" customWidth="1"/>
    <col min="9491" max="9491" width="34.85546875" style="2" customWidth="1"/>
    <col min="9492" max="9728" width="16" style="2"/>
    <col min="9729" max="9729" width="21.42578125" style="2" customWidth="1"/>
    <col min="9730" max="9730" width="23.5703125" style="2" customWidth="1"/>
    <col min="9731" max="9731" width="15" style="2" customWidth="1"/>
    <col min="9732" max="9732" width="15.140625" style="2" customWidth="1"/>
    <col min="9733" max="9733" width="16" style="2" customWidth="1"/>
    <col min="9734" max="9734" width="16.140625" style="2" customWidth="1"/>
    <col min="9735" max="9735" width="17.140625" style="2" customWidth="1"/>
    <col min="9736" max="9736" width="15.28515625" style="2" customWidth="1"/>
    <col min="9737" max="9737" width="12.7109375" style="2" customWidth="1"/>
    <col min="9738" max="9738" width="15.140625" style="2" customWidth="1"/>
    <col min="9739" max="9739" width="15.28515625" style="2" customWidth="1"/>
    <col min="9740" max="9740" width="23.85546875" style="2" customWidth="1"/>
    <col min="9741" max="9741" width="25.5703125" style="2" customWidth="1"/>
    <col min="9742" max="9742" width="20.5703125" style="2" customWidth="1"/>
    <col min="9743" max="9743" width="16.7109375" style="2" customWidth="1"/>
    <col min="9744" max="9744" width="16" style="2"/>
    <col min="9745" max="9745" width="12.140625" style="2" customWidth="1"/>
    <col min="9746" max="9746" width="4.42578125" style="2" customWidth="1"/>
    <col min="9747" max="9747" width="34.85546875" style="2" customWidth="1"/>
    <col min="9748" max="9984" width="16" style="2"/>
    <col min="9985" max="9985" width="21.42578125" style="2" customWidth="1"/>
    <col min="9986" max="9986" width="23.5703125" style="2" customWidth="1"/>
    <col min="9987" max="9987" width="15" style="2" customWidth="1"/>
    <col min="9988" max="9988" width="15.140625" style="2" customWidth="1"/>
    <col min="9989" max="9989" width="16" style="2" customWidth="1"/>
    <col min="9990" max="9990" width="16.140625" style="2" customWidth="1"/>
    <col min="9991" max="9991" width="17.140625" style="2" customWidth="1"/>
    <col min="9992" max="9992" width="15.28515625" style="2" customWidth="1"/>
    <col min="9993" max="9993" width="12.7109375" style="2" customWidth="1"/>
    <col min="9994" max="9994" width="15.140625" style="2" customWidth="1"/>
    <col min="9995" max="9995" width="15.28515625" style="2" customWidth="1"/>
    <col min="9996" max="9996" width="23.85546875" style="2" customWidth="1"/>
    <col min="9997" max="9997" width="25.5703125" style="2" customWidth="1"/>
    <col min="9998" max="9998" width="20.5703125" style="2" customWidth="1"/>
    <col min="9999" max="9999" width="16.7109375" style="2" customWidth="1"/>
    <col min="10000" max="10000" width="16" style="2"/>
    <col min="10001" max="10001" width="12.140625" style="2" customWidth="1"/>
    <col min="10002" max="10002" width="4.42578125" style="2" customWidth="1"/>
    <col min="10003" max="10003" width="34.85546875" style="2" customWidth="1"/>
    <col min="10004" max="10240" width="16" style="2"/>
    <col min="10241" max="10241" width="21.42578125" style="2" customWidth="1"/>
    <col min="10242" max="10242" width="23.5703125" style="2" customWidth="1"/>
    <col min="10243" max="10243" width="15" style="2" customWidth="1"/>
    <col min="10244" max="10244" width="15.140625" style="2" customWidth="1"/>
    <col min="10245" max="10245" width="16" style="2" customWidth="1"/>
    <col min="10246" max="10246" width="16.140625" style="2" customWidth="1"/>
    <col min="10247" max="10247" width="17.140625" style="2" customWidth="1"/>
    <col min="10248" max="10248" width="15.28515625" style="2" customWidth="1"/>
    <col min="10249" max="10249" width="12.7109375" style="2" customWidth="1"/>
    <col min="10250" max="10250" width="15.140625" style="2" customWidth="1"/>
    <col min="10251" max="10251" width="15.28515625" style="2" customWidth="1"/>
    <col min="10252" max="10252" width="23.85546875" style="2" customWidth="1"/>
    <col min="10253" max="10253" width="25.5703125" style="2" customWidth="1"/>
    <col min="10254" max="10254" width="20.5703125" style="2" customWidth="1"/>
    <col min="10255" max="10255" width="16.7109375" style="2" customWidth="1"/>
    <col min="10256" max="10256" width="16" style="2"/>
    <col min="10257" max="10257" width="12.140625" style="2" customWidth="1"/>
    <col min="10258" max="10258" width="4.42578125" style="2" customWidth="1"/>
    <col min="10259" max="10259" width="34.85546875" style="2" customWidth="1"/>
    <col min="10260" max="10496" width="16" style="2"/>
    <col min="10497" max="10497" width="21.42578125" style="2" customWidth="1"/>
    <col min="10498" max="10498" width="23.5703125" style="2" customWidth="1"/>
    <col min="10499" max="10499" width="15" style="2" customWidth="1"/>
    <col min="10500" max="10500" width="15.140625" style="2" customWidth="1"/>
    <col min="10501" max="10501" width="16" style="2" customWidth="1"/>
    <col min="10502" max="10502" width="16.140625" style="2" customWidth="1"/>
    <col min="10503" max="10503" width="17.140625" style="2" customWidth="1"/>
    <col min="10504" max="10504" width="15.28515625" style="2" customWidth="1"/>
    <col min="10505" max="10505" width="12.7109375" style="2" customWidth="1"/>
    <col min="10506" max="10506" width="15.140625" style="2" customWidth="1"/>
    <col min="10507" max="10507" width="15.28515625" style="2" customWidth="1"/>
    <col min="10508" max="10508" width="23.85546875" style="2" customWidth="1"/>
    <col min="10509" max="10509" width="25.5703125" style="2" customWidth="1"/>
    <col min="10510" max="10510" width="20.5703125" style="2" customWidth="1"/>
    <col min="10511" max="10511" width="16.7109375" style="2" customWidth="1"/>
    <col min="10512" max="10512" width="16" style="2"/>
    <col min="10513" max="10513" width="12.140625" style="2" customWidth="1"/>
    <col min="10514" max="10514" width="4.42578125" style="2" customWidth="1"/>
    <col min="10515" max="10515" width="34.85546875" style="2" customWidth="1"/>
    <col min="10516" max="10752" width="16" style="2"/>
    <col min="10753" max="10753" width="21.42578125" style="2" customWidth="1"/>
    <col min="10754" max="10754" width="23.5703125" style="2" customWidth="1"/>
    <col min="10755" max="10755" width="15" style="2" customWidth="1"/>
    <col min="10756" max="10756" width="15.140625" style="2" customWidth="1"/>
    <col min="10757" max="10757" width="16" style="2" customWidth="1"/>
    <col min="10758" max="10758" width="16.140625" style="2" customWidth="1"/>
    <col min="10759" max="10759" width="17.140625" style="2" customWidth="1"/>
    <col min="10760" max="10760" width="15.28515625" style="2" customWidth="1"/>
    <col min="10761" max="10761" width="12.7109375" style="2" customWidth="1"/>
    <col min="10762" max="10762" width="15.140625" style="2" customWidth="1"/>
    <col min="10763" max="10763" width="15.28515625" style="2" customWidth="1"/>
    <col min="10764" max="10764" width="23.85546875" style="2" customWidth="1"/>
    <col min="10765" max="10765" width="25.5703125" style="2" customWidth="1"/>
    <col min="10766" max="10766" width="20.5703125" style="2" customWidth="1"/>
    <col min="10767" max="10767" width="16.7109375" style="2" customWidth="1"/>
    <col min="10768" max="10768" width="16" style="2"/>
    <col min="10769" max="10769" width="12.140625" style="2" customWidth="1"/>
    <col min="10770" max="10770" width="4.42578125" style="2" customWidth="1"/>
    <col min="10771" max="10771" width="34.85546875" style="2" customWidth="1"/>
    <col min="10772" max="11008" width="16" style="2"/>
    <col min="11009" max="11009" width="21.42578125" style="2" customWidth="1"/>
    <col min="11010" max="11010" width="23.5703125" style="2" customWidth="1"/>
    <col min="11011" max="11011" width="15" style="2" customWidth="1"/>
    <col min="11012" max="11012" width="15.140625" style="2" customWidth="1"/>
    <col min="11013" max="11013" width="16" style="2" customWidth="1"/>
    <col min="11014" max="11014" width="16.140625" style="2" customWidth="1"/>
    <col min="11015" max="11015" width="17.140625" style="2" customWidth="1"/>
    <col min="11016" max="11016" width="15.28515625" style="2" customWidth="1"/>
    <col min="11017" max="11017" width="12.7109375" style="2" customWidth="1"/>
    <col min="11018" max="11018" width="15.140625" style="2" customWidth="1"/>
    <col min="11019" max="11019" width="15.28515625" style="2" customWidth="1"/>
    <col min="11020" max="11020" width="23.85546875" style="2" customWidth="1"/>
    <col min="11021" max="11021" width="25.5703125" style="2" customWidth="1"/>
    <col min="11022" max="11022" width="20.5703125" style="2" customWidth="1"/>
    <col min="11023" max="11023" width="16.7109375" style="2" customWidth="1"/>
    <col min="11024" max="11024" width="16" style="2"/>
    <col min="11025" max="11025" width="12.140625" style="2" customWidth="1"/>
    <col min="11026" max="11026" width="4.42578125" style="2" customWidth="1"/>
    <col min="11027" max="11027" width="34.85546875" style="2" customWidth="1"/>
    <col min="11028" max="11264" width="16" style="2"/>
    <col min="11265" max="11265" width="21.42578125" style="2" customWidth="1"/>
    <col min="11266" max="11266" width="23.5703125" style="2" customWidth="1"/>
    <col min="11267" max="11267" width="15" style="2" customWidth="1"/>
    <col min="11268" max="11268" width="15.140625" style="2" customWidth="1"/>
    <col min="11269" max="11269" width="16" style="2" customWidth="1"/>
    <col min="11270" max="11270" width="16.140625" style="2" customWidth="1"/>
    <col min="11271" max="11271" width="17.140625" style="2" customWidth="1"/>
    <col min="11272" max="11272" width="15.28515625" style="2" customWidth="1"/>
    <col min="11273" max="11273" width="12.7109375" style="2" customWidth="1"/>
    <col min="11274" max="11274" width="15.140625" style="2" customWidth="1"/>
    <col min="11275" max="11275" width="15.28515625" style="2" customWidth="1"/>
    <col min="11276" max="11276" width="23.85546875" style="2" customWidth="1"/>
    <col min="11277" max="11277" width="25.5703125" style="2" customWidth="1"/>
    <col min="11278" max="11278" width="20.5703125" style="2" customWidth="1"/>
    <col min="11279" max="11279" width="16.7109375" style="2" customWidth="1"/>
    <col min="11280" max="11280" width="16" style="2"/>
    <col min="11281" max="11281" width="12.140625" style="2" customWidth="1"/>
    <col min="11282" max="11282" width="4.42578125" style="2" customWidth="1"/>
    <col min="11283" max="11283" width="34.85546875" style="2" customWidth="1"/>
    <col min="11284" max="11520" width="16" style="2"/>
    <col min="11521" max="11521" width="21.42578125" style="2" customWidth="1"/>
    <col min="11522" max="11522" width="23.5703125" style="2" customWidth="1"/>
    <col min="11523" max="11523" width="15" style="2" customWidth="1"/>
    <col min="11524" max="11524" width="15.140625" style="2" customWidth="1"/>
    <col min="11525" max="11525" width="16" style="2" customWidth="1"/>
    <col min="11526" max="11526" width="16.140625" style="2" customWidth="1"/>
    <col min="11527" max="11527" width="17.140625" style="2" customWidth="1"/>
    <col min="11528" max="11528" width="15.28515625" style="2" customWidth="1"/>
    <col min="11529" max="11529" width="12.7109375" style="2" customWidth="1"/>
    <col min="11530" max="11530" width="15.140625" style="2" customWidth="1"/>
    <col min="11531" max="11531" width="15.28515625" style="2" customWidth="1"/>
    <col min="11532" max="11532" width="23.85546875" style="2" customWidth="1"/>
    <col min="11533" max="11533" width="25.5703125" style="2" customWidth="1"/>
    <col min="11534" max="11534" width="20.5703125" style="2" customWidth="1"/>
    <col min="11535" max="11535" width="16.7109375" style="2" customWidth="1"/>
    <col min="11536" max="11536" width="16" style="2"/>
    <col min="11537" max="11537" width="12.140625" style="2" customWidth="1"/>
    <col min="11538" max="11538" width="4.42578125" style="2" customWidth="1"/>
    <col min="11539" max="11539" width="34.85546875" style="2" customWidth="1"/>
    <col min="11540" max="11776" width="16" style="2"/>
    <col min="11777" max="11777" width="21.42578125" style="2" customWidth="1"/>
    <col min="11778" max="11778" width="23.5703125" style="2" customWidth="1"/>
    <col min="11779" max="11779" width="15" style="2" customWidth="1"/>
    <col min="11780" max="11780" width="15.140625" style="2" customWidth="1"/>
    <col min="11781" max="11781" width="16" style="2" customWidth="1"/>
    <col min="11782" max="11782" width="16.140625" style="2" customWidth="1"/>
    <col min="11783" max="11783" width="17.140625" style="2" customWidth="1"/>
    <col min="11784" max="11784" width="15.28515625" style="2" customWidth="1"/>
    <col min="11785" max="11785" width="12.7109375" style="2" customWidth="1"/>
    <col min="11786" max="11786" width="15.140625" style="2" customWidth="1"/>
    <col min="11787" max="11787" width="15.28515625" style="2" customWidth="1"/>
    <col min="11788" max="11788" width="23.85546875" style="2" customWidth="1"/>
    <col min="11789" max="11789" width="25.5703125" style="2" customWidth="1"/>
    <col min="11790" max="11790" width="20.5703125" style="2" customWidth="1"/>
    <col min="11791" max="11791" width="16.7109375" style="2" customWidth="1"/>
    <col min="11792" max="11792" width="16" style="2"/>
    <col min="11793" max="11793" width="12.140625" style="2" customWidth="1"/>
    <col min="11794" max="11794" width="4.42578125" style="2" customWidth="1"/>
    <col min="11795" max="11795" width="34.85546875" style="2" customWidth="1"/>
    <col min="11796" max="12032" width="16" style="2"/>
    <col min="12033" max="12033" width="21.42578125" style="2" customWidth="1"/>
    <col min="12034" max="12034" width="23.5703125" style="2" customWidth="1"/>
    <col min="12035" max="12035" width="15" style="2" customWidth="1"/>
    <col min="12036" max="12036" width="15.140625" style="2" customWidth="1"/>
    <col min="12037" max="12037" width="16" style="2" customWidth="1"/>
    <col min="12038" max="12038" width="16.140625" style="2" customWidth="1"/>
    <col min="12039" max="12039" width="17.140625" style="2" customWidth="1"/>
    <col min="12040" max="12040" width="15.28515625" style="2" customWidth="1"/>
    <col min="12041" max="12041" width="12.7109375" style="2" customWidth="1"/>
    <col min="12042" max="12042" width="15.140625" style="2" customWidth="1"/>
    <col min="12043" max="12043" width="15.28515625" style="2" customWidth="1"/>
    <col min="12044" max="12044" width="23.85546875" style="2" customWidth="1"/>
    <col min="12045" max="12045" width="25.5703125" style="2" customWidth="1"/>
    <col min="12046" max="12046" width="20.5703125" style="2" customWidth="1"/>
    <col min="12047" max="12047" width="16.7109375" style="2" customWidth="1"/>
    <col min="12048" max="12048" width="16" style="2"/>
    <col min="12049" max="12049" width="12.140625" style="2" customWidth="1"/>
    <col min="12050" max="12050" width="4.42578125" style="2" customWidth="1"/>
    <col min="12051" max="12051" width="34.85546875" style="2" customWidth="1"/>
    <col min="12052" max="12288" width="16" style="2"/>
    <col min="12289" max="12289" width="21.42578125" style="2" customWidth="1"/>
    <col min="12290" max="12290" width="23.5703125" style="2" customWidth="1"/>
    <col min="12291" max="12291" width="15" style="2" customWidth="1"/>
    <col min="12292" max="12292" width="15.140625" style="2" customWidth="1"/>
    <col min="12293" max="12293" width="16" style="2" customWidth="1"/>
    <col min="12294" max="12294" width="16.140625" style="2" customWidth="1"/>
    <col min="12295" max="12295" width="17.140625" style="2" customWidth="1"/>
    <col min="12296" max="12296" width="15.28515625" style="2" customWidth="1"/>
    <col min="12297" max="12297" width="12.7109375" style="2" customWidth="1"/>
    <col min="12298" max="12298" width="15.140625" style="2" customWidth="1"/>
    <col min="12299" max="12299" width="15.28515625" style="2" customWidth="1"/>
    <col min="12300" max="12300" width="23.85546875" style="2" customWidth="1"/>
    <col min="12301" max="12301" width="25.5703125" style="2" customWidth="1"/>
    <col min="12302" max="12302" width="20.5703125" style="2" customWidth="1"/>
    <col min="12303" max="12303" width="16.7109375" style="2" customWidth="1"/>
    <col min="12304" max="12304" width="16" style="2"/>
    <col min="12305" max="12305" width="12.140625" style="2" customWidth="1"/>
    <col min="12306" max="12306" width="4.42578125" style="2" customWidth="1"/>
    <col min="12307" max="12307" width="34.85546875" style="2" customWidth="1"/>
    <col min="12308" max="12544" width="16" style="2"/>
    <col min="12545" max="12545" width="21.42578125" style="2" customWidth="1"/>
    <col min="12546" max="12546" width="23.5703125" style="2" customWidth="1"/>
    <col min="12547" max="12547" width="15" style="2" customWidth="1"/>
    <col min="12548" max="12548" width="15.140625" style="2" customWidth="1"/>
    <col min="12549" max="12549" width="16" style="2" customWidth="1"/>
    <col min="12550" max="12550" width="16.140625" style="2" customWidth="1"/>
    <col min="12551" max="12551" width="17.140625" style="2" customWidth="1"/>
    <col min="12552" max="12552" width="15.28515625" style="2" customWidth="1"/>
    <col min="12553" max="12553" width="12.7109375" style="2" customWidth="1"/>
    <col min="12554" max="12554" width="15.140625" style="2" customWidth="1"/>
    <col min="12555" max="12555" width="15.28515625" style="2" customWidth="1"/>
    <col min="12556" max="12556" width="23.85546875" style="2" customWidth="1"/>
    <col min="12557" max="12557" width="25.5703125" style="2" customWidth="1"/>
    <col min="12558" max="12558" width="20.5703125" style="2" customWidth="1"/>
    <col min="12559" max="12559" width="16.7109375" style="2" customWidth="1"/>
    <col min="12560" max="12560" width="16" style="2"/>
    <col min="12561" max="12561" width="12.140625" style="2" customWidth="1"/>
    <col min="12562" max="12562" width="4.42578125" style="2" customWidth="1"/>
    <col min="12563" max="12563" width="34.85546875" style="2" customWidth="1"/>
    <col min="12564" max="12800" width="16" style="2"/>
    <col min="12801" max="12801" width="21.42578125" style="2" customWidth="1"/>
    <col min="12802" max="12802" width="23.5703125" style="2" customWidth="1"/>
    <col min="12803" max="12803" width="15" style="2" customWidth="1"/>
    <col min="12804" max="12804" width="15.140625" style="2" customWidth="1"/>
    <col min="12805" max="12805" width="16" style="2" customWidth="1"/>
    <col min="12806" max="12806" width="16.140625" style="2" customWidth="1"/>
    <col min="12807" max="12807" width="17.140625" style="2" customWidth="1"/>
    <col min="12808" max="12808" width="15.28515625" style="2" customWidth="1"/>
    <col min="12809" max="12809" width="12.7109375" style="2" customWidth="1"/>
    <col min="12810" max="12810" width="15.140625" style="2" customWidth="1"/>
    <col min="12811" max="12811" width="15.28515625" style="2" customWidth="1"/>
    <col min="12812" max="12812" width="23.85546875" style="2" customWidth="1"/>
    <col min="12813" max="12813" width="25.5703125" style="2" customWidth="1"/>
    <col min="12814" max="12814" width="20.5703125" style="2" customWidth="1"/>
    <col min="12815" max="12815" width="16.7109375" style="2" customWidth="1"/>
    <col min="12816" max="12816" width="16" style="2"/>
    <col min="12817" max="12817" width="12.140625" style="2" customWidth="1"/>
    <col min="12818" max="12818" width="4.42578125" style="2" customWidth="1"/>
    <col min="12819" max="12819" width="34.85546875" style="2" customWidth="1"/>
    <col min="12820" max="13056" width="16" style="2"/>
    <col min="13057" max="13057" width="21.42578125" style="2" customWidth="1"/>
    <col min="13058" max="13058" width="23.5703125" style="2" customWidth="1"/>
    <col min="13059" max="13059" width="15" style="2" customWidth="1"/>
    <col min="13060" max="13060" width="15.140625" style="2" customWidth="1"/>
    <col min="13061" max="13061" width="16" style="2" customWidth="1"/>
    <col min="13062" max="13062" width="16.140625" style="2" customWidth="1"/>
    <col min="13063" max="13063" width="17.140625" style="2" customWidth="1"/>
    <col min="13064" max="13064" width="15.28515625" style="2" customWidth="1"/>
    <col min="13065" max="13065" width="12.7109375" style="2" customWidth="1"/>
    <col min="13066" max="13066" width="15.140625" style="2" customWidth="1"/>
    <col min="13067" max="13067" width="15.28515625" style="2" customWidth="1"/>
    <col min="13068" max="13068" width="23.85546875" style="2" customWidth="1"/>
    <col min="13069" max="13069" width="25.5703125" style="2" customWidth="1"/>
    <col min="13070" max="13070" width="20.5703125" style="2" customWidth="1"/>
    <col min="13071" max="13071" width="16.7109375" style="2" customWidth="1"/>
    <col min="13072" max="13072" width="16" style="2"/>
    <col min="13073" max="13073" width="12.140625" style="2" customWidth="1"/>
    <col min="13074" max="13074" width="4.42578125" style="2" customWidth="1"/>
    <col min="13075" max="13075" width="34.85546875" style="2" customWidth="1"/>
    <col min="13076" max="13312" width="16" style="2"/>
    <col min="13313" max="13313" width="21.42578125" style="2" customWidth="1"/>
    <col min="13314" max="13314" width="23.5703125" style="2" customWidth="1"/>
    <col min="13315" max="13315" width="15" style="2" customWidth="1"/>
    <col min="13316" max="13316" width="15.140625" style="2" customWidth="1"/>
    <col min="13317" max="13317" width="16" style="2" customWidth="1"/>
    <col min="13318" max="13318" width="16.140625" style="2" customWidth="1"/>
    <col min="13319" max="13319" width="17.140625" style="2" customWidth="1"/>
    <col min="13320" max="13320" width="15.28515625" style="2" customWidth="1"/>
    <col min="13321" max="13321" width="12.7109375" style="2" customWidth="1"/>
    <col min="13322" max="13322" width="15.140625" style="2" customWidth="1"/>
    <col min="13323" max="13323" width="15.28515625" style="2" customWidth="1"/>
    <col min="13324" max="13324" width="23.85546875" style="2" customWidth="1"/>
    <col min="13325" max="13325" width="25.5703125" style="2" customWidth="1"/>
    <col min="13326" max="13326" width="20.5703125" style="2" customWidth="1"/>
    <col min="13327" max="13327" width="16.7109375" style="2" customWidth="1"/>
    <col min="13328" max="13328" width="16" style="2"/>
    <col min="13329" max="13329" width="12.140625" style="2" customWidth="1"/>
    <col min="13330" max="13330" width="4.42578125" style="2" customWidth="1"/>
    <col min="13331" max="13331" width="34.85546875" style="2" customWidth="1"/>
    <col min="13332" max="13568" width="16" style="2"/>
    <col min="13569" max="13569" width="21.42578125" style="2" customWidth="1"/>
    <col min="13570" max="13570" width="23.5703125" style="2" customWidth="1"/>
    <col min="13571" max="13571" width="15" style="2" customWidth="1"/>
    <col min="13572" max="13572" width="15.140625" style="2" customWidth="1"/>
    <col min="13573" max="13573" width="16" style="2" customWidth="1"/>
    <col min="13574" max="13574" width="16.140625" style="2" customWidth="1"/>
    <col min="13575" max="13575" width="17.140625" style="2" customWidth="1"/>
    <col min="13576" max="13576" width="15.28515625" style="2" customWidth="1"/>
    <col min="13577" max="13577" width="12.7109375" style="2" customWidth="1"/>
    <col min="13578" max="13578" width="15.140625" style="2" customWidth="1"/>
    <col min="13579" max="13579" width="15.28515625" style="2" customWidth="1"/>
    <col min="13580" max="13580" width="23.85546875" style="2" customWidth="1"/>
    <col min="13581" max="13581" width="25.5703125" style="2" customWidth="1"/>
    <col min="13582" max="13582" width="20.5703125" style="2" customWidth="1"/>
    <col min="13583" max="13583" width="16.7109375" style="2" customWidth="1"/>
    <col min="13584" max="13584" width="16" style="2"/>
    <col min="13585" max="13585" width="12.140625" style="2" customWidth="1"/>
    <col min="13586" max="13586" width="4.42578125" style="2" customWidth="1"/>
    <col min="13587" max="13587" width="34.85546875" style="2" customWidth="1"/>
    <col min="13588" max="13824" width="16" style="2"/>
    <col min="13825" max="13825" width="21.42578125" style="2" customWidth="1"/>
    <col min="13826" max="13826" width="23.5703125" style="2" customWidth="1"/>
    <col min="13827" max="13827" width="15" style="2" customWidth="1"/>
    <col min="13828" max="13828" width="15.140625" style="2" customWidth="1"/>
    <col min="13829" max="13829" width="16" style="2" customWidth="1"/>
    <col min="13830" max="13830" width="16.140625" style="2" customWidth="1"/>
    <col min="13831" max="13831" width="17.140625" style="2" customWidth="1"/>
    <col min="13832" max="13832" width="15.28515625" style="2" customWidth="1"/>
    <col min="13833" max="13833" width="12.7109375" style="2" customWidth="1"/>
    <col min="13834" max="13834" width="15.140625" style="2" customWidth="1"/>
    <col min="13835" max="13835" width="15.28515625" style="2" customWidth="1"/>
    <col min="13836" max="13836" width="23.85546875" style="2" customWidth="1"/>
    <col min="13837" max="13837" width="25.5703125" style="2" customWidth="1"/>
    <col min="13838" max="13838" width="20.5703125" style="2" customWidth="1"/>
    <col min="13839" max="13839" width="16.7109375" style="2" customWidth="1"/>
    <col min="13840" max="13840" width="16" style="2"/>
    <col min="13841" max="13841" width="12.140625" style="2" customWidth="1"/>
    <col min="13842" max="13842" width="4.42578125" style="2" customWidth="1"/>
    <col min="13843" max="13843" width="34.85546875" style="2" customWidth="1"/>
    <col min="13844" max="14080" width="16" style="2"/>
    <col min="14081" max="14081" width="21.42578125" style="2" customWidth="1"/>
    <col min="14082" max="14082" width="23.5703125" style="2" customWidth="1"/>
    <col min="14083" max="14083" width="15" style="2" customWidth="1"/>
    <col min="14084" max="14084" width="15.140625" style="2" customWidth="1"/>
    <col min="14085" max="14085" width="16" style="2" customWidth="1"/>
    <col min="14086" max="14086" width="16.140625" style="2" customWidth="1"/>
    <col min="14087" max="14087" width="17.140625" style="2" customWidth="1"/>
    <col min="14088" max="14088" width="15.28515625" style="2" customWidth="1"/>
    <col min="14089" max="14089" width="12.7109375" style="2" customWidth="1"/>
    <col min="14090" max="14090" width="15.140625" style="2" customWidth="1"/>
    <col min="14091" max="14091" width="15.28515625" style="2" customWidth="1"/>
    <col min="14092" max="14092" width="23.85546875" style="2" customWidth="1"/>
    <col min="14093" max="14093" width="25.5703125" style="2" customWidth="1"/>
    <col min="14094" max="14094" width="20.5703125" style="2" customWidth="1"/>
    <col min="14095" max="14095" width="16.7109375" style="2" customWidth="1"/>
    <col min="14096" max="14096" width="16" style="2"/>
    <col min="14097" max="14097" width="12.140625" style="2" customWidth="1"/>
    <col min="14098" max="14098" width="4.42578125" style="2" customWidth="1"/>
    <col min="14099" max="14099" width="34.85546875" style="2" customWidth="1"/>
    <col min="14100" max="14336" width="16" style="2"/>
    <col min="14337" max="14337" width="21.42578125" style="2" customWidth="1"/>
    <col min="14338" max="14338" width="23.5703125" style="2" customWidth="1"/>
    <col min="14339" max="14339" width="15" style="2" customWidth="1"/>
    <col min="14340" max="14340" width="15.140625" style="2" customWidth="1"/>
    <col min="14341" max="14341" width="16" style="2" customWidth="1"/>
    <col min="14342" max="14342" width="16.140625" style="2" customWidth="1"/>
    <col min="14343" max="14343" width="17.140625" style="2" customWidth="1"/>
    <col min="14344" max="14344" width="15.28515625" style="2" customWidth="1"/>
    <col min="14345" max="14345" width="12.7109375" style="2" customWidth="1"/>
    <col min="14346" max="14346" width="15.140625" style="2" customWidth="1"/>
    <col min="14347" max="14347" width="15.28515625" style="2" customWidth="1"/>
    <col min="14348" max="14348" width="23.85546875" style="2" customWidth="1"/>
    <col min="14349" max="14349" width="25.5703125" style="2" customWidth="1"/>
    <col min="14350" max="14350" width="20.5703125" style="2" customWidth="1"/>
    <col min="14351" max="14351" width="16.7109375" style="2" customWidth="1"/>
    <col min="14352" max="14352" width="16" style="2"/>
    <col min="14353" max="14353" width="12.140625" style="2" customWidth="1"/>
    <col min="14354" max="14354" width="4.42578125" style="2" customWidth="1"/>
    <col min="14355" max="14355" width="34.85546875" style="2" customWidth="1"/>
    <col min="14356" max="14592" width="16" style="2"/>
    <col min="14593" max="14593" width="21.42578125" style="2" customWidth="1"/>
    <col min="14594" max="14594" width="23.5703125" style="2" customWidth="1"/>
    <col min="14595" max="14595" width="15" style="2" customWidth="1"/>
    <col min="14596" max="14596" width="15.140625" style="2" customWidth="1"/>
    <col min="14597" max="14597" width="16" style="2" customWidth="1"/>
    <col min="14598" max="14598" width="16.140625" style="2" customWidth="1"/>
    <col min="14599" max="14599" width="17.140625" style="2" customWidth="1"/>
    <col min="14600" max="14600" width="15.28515625" style="2" customWidth="1"/>
    <col min="14601" max="14601" width="12.7109375" style="2" customWidth="1"/>
    <col min="14602" max="14602" width="15.140625" style="2" customWidth="1"/>
    <col min="14603" max="14603" width="15.28515625" style="2" customWidth="1"/>
    <col min="14604" max="14604" width="23.85546875" style="2" customWidth="1"/>
    <col min="14605" max="14605" width="25.5703125" style="2" customWidth="1"/>
    <col min="14606" max="14606" width="20.5703125" style="2" customWidth="1"/>
    <col min="14607" max="14607" width="16.7109375" style="2" customWidth="1"/>
    <col min="14608" max="14608" width="16" style="2"/>
    <col min="14609" max="14609" width="12.140625" style="2" customWidth="1"/>
    <col min="14610" max="14610" width="4.42578125" style="2" customWidth="1"/>
    <col min="14611" max="14611" width="34.85546875" style="2" customWidth="1"/>
    <col min="14612" max="14848" width="16" style="2"/>
    <col min="14849" max="14849" width="21.42578125" style="2" customWidth="1"/>
    <col min="14850" max="14850" width="23.5703125" style="2" customWidth="1"/>
    <col min="14851" max="14851" width="15" style="2" customWidth="1"/>
    <col min="14852" max="14852" width="15.140625" style="2" customWidth="1"/>
    <col min="14853" max="14853" width="16" style="2" customWidth="1"/>
    <col min="14854" max="14854" width="16.140625" style="2" customWidth="1"/>
    <col min="14855" max="14855" width="17.140625" style="2" customWidth="1"/>
    <col min="14856" max="14856" width="15.28515625" style="2" customWidth="1"/>
    <col min="14857" max="14857" width="12.7109375" style="2" customWidth="1"/>
    <col min="14858" max="14858" width="15.140625" style="2" customWidth="1"/>
    <col min="14859" max="14859" width="15.28515625" style="2" customWidth="1"/>
    <col min="14860" max="14860" width="23.85546875" style="2" customWidth="1"/>
    <col min="14861" max="14861" width="25.5703125" style="2" customWidth="1"/>
    <col min="14862" max="14862" width="20.5703125" style="2" customWidth="1"/>
    <col min="14863" max="14863" width="16.7109375" style="2" customWidth="1"/>
    <col min="14864" max="14864" width="16" style="2"/>
    <col min="14865" max="14865" width="12.140625" style="2" customWidth="1"/>
    <col min="14866" max="14866" width="4.42578125" style="2" customWidth="1"/>
    <col min="14867" max="14867" width="34.85546875" style="2" customWidth="1"/>
    <col min="14868" max="15104" width="16" style="2"/>
    <col min="15105" max="15105" width="21.42578125" style="2" customWidth="1"/>
    <col min="15106" max="15106" width="23.5703125" style="2" customWidth="1"/>
    <col min="15107" max="15107" width="15" style="2" customWidth="1"/>
    <col min="15108" max="15108" width="15.140625" style="2" customWidth="1"/>
    <col min="15109" max="15109" width="16" style="2" customWidth="1"/>
    <col min="15110" max="15110" width="16.140625" style="2" customWidth="1"/>
    <col min="15111" max="15111" width="17.140625" style="2" customWidth="1"/>
    <col min="15112" max="15112" width="15.28515625" style="2" customWidth="1"/>
    <col min="15113" max="15113" width="12.7109375" style="2" customWidth="1"/>
    <col min="15114" max="15114" width="15.140625" style="2" customWidth="1"/>
    <col min="15115" max="15115" width="15.28515625" style="2" customWidth="1"/>
    <col min="15116" max="15116" width="23.85546875" style="2" customWidth="1"/>
    <col min="15117" max="15117" width="25.5703125" style="2" customWidth="1"/>
    <col min="15118" max="15118" width="20.5703125" style="2" customWidth="1"/>
    <col min="15119" max="15119" width="16.7109375" style="2" customWidth="1"/>
    <col min="15120" max="15120" width="16" style="2"/>
    <col min="15121" max="15121" width="12.140625" style="2" customWidth="1"/>
    <col min="15122" max="15122" width="4.42578125" style="2" customWidth="1"/>
    <col min="15123" max="15123" width="34.85546875" style="2" customWidth="1"/>
    <col min="15124" max="15360" width="16" style="2"/>
    <col min="15361" max="15361" width="21.42578125" style="2" customWidth="1"/>
    <col min="15362" max="15362" width="23.5703125" style="2" customWidth="1"/>
    <col min="15363" max="15363" width="15" style="2" customWidth="1"/>
    <col min="15364" max="15364" width="15.140625" style="2" customWidth="1"/>
    <col min="15365" max="15365" width="16" style="2" customWidth="1"/>
    <col min="15366" max="15366" width="16.140625" style="2" customWidth="1"/>
    <col min="15367" max="15367" width="17.140625" style="2" customWidth="1"/>
    <col min="15368" max="15368" width="15.28515625" style="2" customWidth="1"/>
    <col min="15369" max="15369" width="12.7109375" style="2" customWidth="1"/>
    <col min="15370" max="15370" width="15.140625" style="2" customWidth="1"/>
    <col min="15371" max="15371" width="15.28515625" style="2" customWidth="1"/>
    <col min="15372" max="15372" width="23.85546875" style="2" customWidth="1"/>
    <col min="15373" max="15373" width="25.5703125" style="2" customWidth="1"/>
    <col min="15374" max="15374" width="20.5703125" style="2" customWidth="1"/>
    <col min="15375" max="15375" width="16.7109375" style="2" customWidth="1"/>
    <col min="15376" max="15376" width="16" style="2"/>
    <col min="15377" max="15377" width="12.140625" style="2" customWidth="1"/>
    <col min="15378" max="15378" width="4.42578125" style="2" customWidth="1"/>
    <col min="15379" max="15379" width="34.85546875" style="2" customWidth="1"/>
    <col min="15380" max="15616" width="16" style="2"/>
    <col min="15617" max="15617" width="21.42578125" style="2" customWidth="1"/>
    <col min="15618" max="15618" width="23.5703125" style="2" customWidth="1"/>
    <col min="15619" max="15619" width="15" style="2" customWidth="1"/>
    <col min="15620" max="15620" width="15.140625" style="2" customWidth="1"/>
    <col min="15621" max="15621" width="16" style="2" customWidth="1"/>
    <col min="15622" max="15622" width="16.140625" style="2" customWidth="1"/>
    <col min="15623" max="15623" width="17.140625" style="2" customWidth="1"/>
    <col min="15624" max="15624" width="15.28515625" style="2" customWidth="1"/>
    <col min="15625" max="15625" width="12.7109375" style="2" customWidth="1"/>
    <col min="15626" max="15626" width="15.140625" style="2" customWidth="1"/>
    <col min="15627" max="15627" width="15.28515625" style="2" customWidth="1"/>
    <col min="15628" max="15628" width="23.85546875" style="2" customWidth="1"/>
    <col min="15629" max="15629" width="25.5703125" style="2" customWidth="1"/>
    <col min="15630" max="15630" width="20.5703125" style="2" customWidth="1"/>
    <col min="15631" max="15631" width="16.7109375" style="2" customWidth="1"/>
    <col min="15632" max="15632" width="16" style="2"/>
    <col min="15633" max="15633" width="12.140625" style="2" customWidth="1"/>
    <col min="15634" max="15634" width="4.42578125" style="2" customWidth="1"/>
    <col min="15635" max="15635" width="34.85546875" style="2" customWidth="1"/>
    <col min="15636" max="15872" width="16" style="2"/>
    <col min="15873" max="15873" width="21.42578125" style="2" customWidth="1"/>
    <col min="15874" max="15874" width="23.5703125" style="2" customWidth="1"/>
    <col min="15875" max="15875" width="15" style="2" customWidth="1"/>
    <col min="15876" max="15876" width="15.140625" style="2" customWidth="1"/>
    <col min="15877" max="15877" width="16" style="2" customWidth="1"/>
    <col min="15878" max="15878" width="16.140625" style="2" customWidth="1"/>
    <col min="15879" max="15879" width="17.140625" style="2" customWidth="1"/>
    <col min="15880" max="15880" width="15.28515625" style="2" customWidth="1"/>
    <col min="15881" max="15881" width="12.7109375" style="2" customWidth="1"/>
    <col min="15882" max="15882" width="15.140625" style="2" customWidth="1"/>
    <col min="15883" max="15883" width="15.28515625" style="2" customWidth="1"/>
    <col min="15884" max="15884" width="23.85546875" style="2" customWidth="1"/>
    <col min="15885" max="15885" width="25.5703125" style="2" customWidth="1"/>
    <col min="15886" max="15886" width="20.5703125" style="2" customWidth="1"/>
    <col min="15887" max="15887" width="16.7109375" style="2" customWidth="1"/>
    <col min="15888" max="15888" width="16" style="2"/>
    <col min="15889" max="15889" width="12.140625" style="2" customWidth="1"/>
    <col min="15890" max="15890" width="4.42578125" style="2" customWidth="1"/>
    <col min="15891" max="15891" width="34.85546875" style="2" customWidth="1"/>
    <col min="15892" max="16128" width="16" style="2"/>
    <col min="16129" max="16129" width="21.42578125" style="2" customWidth="1"/>
    <col min="16130" max="16130" width="23.5703125" style="2" customWidth="1"/>
    <col min="16131" max="16131" width="15" style="2" customWidth="1"/>
    <col min="16132" max="16132" width="15.140625" style="2" customWidth="1"/>
    <col min="16133" max="16133" width="16" style="2" customWidth="1"/>
    <col min="16134" max="16134" width="16.140625" style="2" customWidth="1"/>
    <col min="16135" max="16135" width="17.140625" style="2" customWidth="1"/>
    <col min="16136" max="16136" width="15.28515625" style="2" customWidth="1"/>
    <col min="16137" max="16137" width="12.7109375" style="2" customWidth="1"/>
    <col min="16138" max="16138" width="15.140625" style="2" customWidth="1"/>
    <col min="16139" max="16139" width="15.28515625" style="2" customWidth="1"/>
    <col min="16140" max="16140" width="23.85546875" style="2" customWidth="1"/>
    <col min="16141" max="16141" width="25.5703125" style="2" customWidth="1"/>
    <col min="16142" max="16142" width="20.5703125" style="2" customWidth="1"/>
    <col min="16143" max="16143" width="16.7109375" style="2" customWidth="1"/>
    <col min="16144" max="16144" width="16" style="2"/>
    <col min="16145" max="16145" width="12.140625" style="2" customWidth="1"/>
    <col min="16146" max="16146" width="4.42578125" style="2" customWidth="1"/>
    <col min="16147" max="16147" width="34.85546875" style="2" customWidth="1"/>
    <col min="16148" max="16384" width="16" style="2"/>
  </cols>
  <sheetData>
    <row r="1" spans="1:28" ht="15">
      <c r="S1" s="39"/>
      <c r="T1" s="1"/>
      <c r="U1" s="1"/>
      <c r="V1" s="1"/>
      <c r="W1" s="1"/>
      <c r="X1" s="1"/>
      <c r="Y1" s="1"/>
      <c r="Z1" s="1"/>
      <c r="AA1" s="1"/>
      <c r="AB1" s="1"/>
    </row>
    <row r="2" spans="1:28" ht="20.25" customHeight="1">
      <c r="A2" s="263" t="s">
        <v>238</v>
      </c>
      <c r="B2" s="264" t="str">
        <f>A4</f>
        <v>IAM fatal</v>
      </c>
      <c r="C2" s="265"/>
      <c r="D2" s="266"/>
      <c r="E2" s="266"/>
      <c r="F2" s="266"/>
      <c r="G2" s="266"/>
      <c r="O2" s="267"/>
      <c r="P2" s="268"/>
      <c r="Q2" s="10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5.5">
      <c r="A3" s="71" t="s">
        <v>155</v>
      </c>
      <c r="B3" s="405" t="s">
        <v>156</v>
      </c>
      <c r="C3" s="405"/>
      <c r="D3" s="405"/>
      <c r="E3" s="405" t="s">
        <v>157</v>
      </c>
      <c r="F3" s="405"/>
      <c r="G3" s="405"/>
      <c r="H3" s="269" t="s">
        <v>128</v>
      </c>
      <c r="I3" s="406" t="s">
        <v>129</v>
      </c>
      <c r="J3" s="407"/>
      <c r="K3" s="408"/>
      <c r="L3" s="406" t="s">
        <v>130</v>
      </c>
      <c r="M3" s="408"/>
      <c r="N3" s="270" t="s">
        <v>131</v>
      </c>
      <c r="O3" s="268"/>
      <c r="T3" s="1"/>
      <c r="U3" s="1"/>
      <c r="W3" s="1"/>
      <c r="X3" s="1"/>
      <c r="Y3" s="1"/>
      <c r="Z3" s="1"/>
      <c r="AA3" s="1"/>
      <c r="AB3" s="1"/>
    </row>
    <row r="4" spans="1:28" ht="25.5">
      <c r="A4" s="72" t="s">
        <v>63</v>
      </c>
      <c r="B4" s="73" t="s">
        <v>158</v>
      </c>
      <c r="C4" s="73" t="s">
        <v>159</v>
      </c>
      <c r="D4" s="73" t="s">
        <v>1</v>
      </c>
      <c r="E4" s="73" t="s">
        <v>158</v>
      </c>
      <c r="F4" s="73" t="s">
        <v>159</v>
      </c>
      <c r="G4" s="73" t="s">
        <v>1</v>
      </c>
      <c r="H4" s="271" t="s">
        <v>133</v>
      </c>
      <c r="I4" s="272" t="s">
        <v>239</v>
      </c>
      <c r="J4" s="273" t="s">
        <v>240</v>
      </c>
      <c r="K4" s="272" t="s">
        <v>1</v>
      </c>
      <c r="L4" s="274" t="s">
        <v>239</v>
      </c>
      <c r="M4" s="275" t="s">
        <v>241</v>
      </c>
      <c r="N4" s="276" t="s">
        <v>133</v>
      </c>
      <c r="O4" s="268"/>
      <c r="P4" s="2" t="s">
        <v>134</v>
      </c>
      <c r="Q4" s="2" t="s">
        <v>134</v>
      </c>
      <c r="T4" s="1"/>
      <c r="U4" s="1"/>
      <c r="W4" s="1"/>
      <c r="X4" s="1"/>
      <c r="Y4" s="1"/>
      <c r="Z4" s="1"/>
      <c r="AA4" s="1"/>
      <c r="AB4" s="1"/>
    </row>
    <row r="5" spans="1:28">
      <c r="A5" s="106" t="s">
        <v>3</v>
      </c>
      <c r="B5" s="74">
        <v>19</v>
      </c>
      <c r="C5" s="75">
        <v>5109</v>
      </c>
      <c r="D5" s="76">
        <v>5128</v>
      </c>
      <c r="E5" s="74">
        <v>13</v>
      </c>
      <c r="F5" s="75">
        <v>5110</v>
      </c>
      <c r="G5" s="76">
        <v>5123</v>
      </c>
      <c r="H5" s="278">
        <v>3.8</v>
      </c>
      <c r="I5" s="279">
        <f t="shared" ref="I5:I9" si="0">D5*H5</f>
        <v>19486.399999999998</v>
      </c>
      <c r="J5" s="279">
        <f t="shared" ref="J5:J9" si="1">G5*H5</f>
        <v>19467.399999999998</v>
      </c>
      <c r="K5" s="279">
        <f>I5+J5</f>
        <v>38953.799999999996</v>
      </c>
      <c r="L5" s="280">
        <f t="shared" ref="L5:L10" si="2">B5/I5</f>
        <v>9.7503900156006254E-4</v>
      </c>
      <c r="M5" s="280">
        <f t="shared" ref="M5:M10" si="3">E5/J5</f>
        <v>6.6778306296680617E-4</v>
      </c>
      <c r="N5" s="281">
        <v>62</v>
      </c>
      <c r="O5" s="282">
        <f>N5*(D5+G5)</f>
        <v>635562</v>
      </c>
      <c r="P5" s="283" t="str">
        <f t="shared" ref="P5:P10" si="4">CONCATENATE(B5," ",$P$4," ",D5)</f>
        <v>19 / 5128</v>
      </c>
      <c r="Q5" s="283" t="str">
        <f t="shared" ref="Q5:Q10" si="5">CONCATENATE(E5," ",$Q$4," ",G5)</f>
        <v>13 / 5123</v>
      </c>
      <c r="T5" s="1"/>
      <c r="U5" s="1"/>
      <c r="W5" s="1"/>
      <c r="X5" s="1"/>
      <c r="Y5" s="1"/>
      <c r="Z5" s="1"/>
      <c r="AA5" s="1"/>
      <c r="AB5" s="1"/>
    </row>
    <row r="6" spans="1:28">
      <c r="A6" s="106" t="s">
        <v>4</v>
      </c>
      <c r="B6" s="74">
        <v>157</v>
      </c>
      <c r="C6" s="75">
        <v>5414</v>
      </c>
      <c r="D6" s="76">
        <v>5571</v>
      </c>
      <c r="E6" s="74">
        <v>181</v>
      </c>
      <c r="F6" s="75">
        <v>5388</v>
      </c>
      <c r="G6" s="76">
        <v>5569</v>
      </c>
      <c r="H6" s="278">
        <v>5</v>
      </c>
      <c r="I6" s="279">
        <f t="shared" si="0"/>
        <v>27855</v>
      </c>
      <c r="J6" s="279">
        <f t="shared" si="1"/>
        <v>27845</v>
      </c>
      <c r="K6" s="279">
        <f t="shared" ref="K6:K9" si="6">I6+J6</f>
        <v>55700</v>
      </c>
      <c r="L6" s="280">
        <f t="shared" si="2"/>
        <v>5.6363309998204991E-3</v>
      </c>
      <c r="M6" s="280">
        <f t="shared" si="3"/>
        <v>6.5002693481774109E-3</v>
      </c>
      <c r="N6" s="281">
        <v>66</v>
      </c>
      <c r="O6" s="282">
        <f t="shared" ref="O6:O9" si="7">N6*(D6+G6)</f>
        <v>735240</v>
      </c>
      <c r="P6" s="283" t="str">
        <f t="shared" si="4"/>
        <v>157 / 5571</v>
      </c>
      <c r="Q6" s="283" t="str">
        <f t="shared" si="5"/>
        <v>181 / 5569</v>
      </c>
      <c r="T6" s="1"/>
      <c r="U6" s="1"/>
      <c r="W6" s="1"/>
      <c r="X6" s="1"/>
      <c r="Y6" s="1"/>
      <c r="Z6" s="1"/>
      <c r="AA6" s="1"/>
      <c r="AB6" s="1"/>
    </row>
    <row r="7" spans="1:28">
      <c r="A7" s="106" t="s">
        <v>259</v>
      </c>
      <c r="B7" s="74">
        <v>45</v>
      </c>
      <c r="C7" s="75">
        <v>2560</v>
      </c>
      <c r="D7" s="76">
        <v>2605</v>
      </c>
      <c r="E7" s="74">
        <v>58</v>
      </c>
      <c r="F7" s="75">
        <v>2575</v>
      </c>
      <c r="G7" s="76">
        <v>2633</v>
      </c>
      <c r="H7" s="278">
        <v>2.8</v>
      </c>
      <c r="I7" s="279">
        <f t="shared" si="0"/>
        <v>7293.9999999999991</v>
      </c>
      <c r="J7" s="279">
        <f t="shared" si="1"/>
        <v>7372.4</v>
      </c>
      <c r="K7" s="279">
        <f t="shared" si="6"/>
        <v>14666.399999999998</v>
      </c>
      <c r="L7" s="280">
        <f t="shared" si="2"/>
        <v>6.1694543460378403E-3</v>
      </c>
      <c r="M7" s="280">
        <f t="shared" si="3"/>
        <v>7.8671802940697734E-3</v>
      </c>
      <c r="N7" s="281">
        <v>62</v>
      </c>
      <c r="O7" s="282">
        <f t="shared" si="7"/>
        <v>324756</v>
      </c>
      <c r="P7" s="283" t="str">
        <f t="shared" si="4"/>
        <v>45 / 2605</v>
      </c>
      <c r="Q7" s="283" t="str">
        <f t="shared" si="5"/>
        <v>58 / 2633</v>
      </c>
      <c r="T7" s="1"/>
      <c r="U7" s="1"/>
      <c r="W7" s="1"/>
      <c r="X7" s="1"/>
      <c r="Y7" s="1"/>
      <c r="Z7" s="1"/>
      <c r="AA7" s="1"/>
      <c r="AB7" s="1"/>
    </row>
    <row r="8" spans="1:28">
      <c r="A8" s="107" t="s">
        <v>5</v>
      </c>
      <c r="B8" s="74">
        <v>205</v>
      </c>
      <c r="C8" s="75">
        <v>2866</v>
      </c>
      <c r="D8" s="76">
        <v>3071</v>
      </c>
      <c r="E8" s="74">
        <v>118</v>
      </c>
      <c r="F8" s="75">
        <v>1431</v>
      </c>
      <c r="G8" s="76">
        <v>1549</v>
      </c>
      <c r="H8" s="278">
        <v>10</v>
      </c>
      <c r="I8" s="279">
        <f t="shared" si="0"/>
        <v>30710</v>
      </c>
      <c r="J8" s="279">
        <f t="shared" si="1"/>
        <v>15490</v>
      </c>
      <c r="K8" s="279">
        <f t="shared" si="6"/>
        <v>46200</v>
      </c>
      <c r="L8" s="280">
        <f t="shared" si="2"/>
        <v>6.6753500488440243E-3</v>
      </c>
      <c r="M8" s="280">
        <f t="shared" si="3"/>
        <v>7.6178179470626209E-3</v>
      </c>
      <c r="N8" s="281">
        <v>53</v>
      </c>
      <c r="O8" s="282">
        <f t="shared" si="7"/>
        <v>244860</v>
      </c>
      <c r="P8" s="283" t="str">
        <f t="shared" si="4"/>
        <v>205 / 3071</v>
      </c>
      <c r="Q8" s="283" t="str">
        <f t="shared" si="5"/>
        <v>118 / 1549</v>
      </c>
      <c r="T8" s="1"/>
      <c r="U8" s="1"/>
      <c r="W8" s="1"/>
      <c r="X8" s="1"/>
      <c r="Y8" s="1"/>
      <c r="Z8" s="1"/>
      <c r="AA8" s="1"/>
      <c r="AB8" s="1"/>
    </row>
    <row r="9" spans="1:28">
      <c r="A9" s="107" t="s">
        <v>6</v>
      </c>
      <c r="B9" s="74">
        <v>13</v>
      </c>
      <c r="C9" s="75">
        <v>892</v>
      </c>
      <c r="D9" s="76">
        <v>892</v>
      </c>
      <c r="E9" s="74">
        <v>12</v>
      </c>
      <c r="F9" s="75">
        <v>887</v>
      </c>
      <c r="G9" s="76">
        <v>899</v>
      </c>
      <c r="H9" s="278">
        <v>5.6</v>
      </c>
      <c r="I9" s="279">
        <f t="shared" si="0"/>
        <v>4995.2</v>
      </c>
      <c r="J9" s="279">
        <f t="shared" si="1"/>
        <v>5034.3999999999996</v>
      </c>
      <c r="K9" s="279">
        <f t="shared" si="6"/>
        <v>10029.599999999999</v>
      </c>
      <c r="L9" s="280">
        <f t="shared" si="2"/>
        <v>2.6024983984625242E-3</v>
      </c>
      <c r="M9" s="280">
        <f t="shared" si="3"/>
        <v>2.3836008263149531E-3</v>
      </c>
      <c r="N9" s="281">
        <v>60</v>
      </c>
      <c r="O9" s="282">
        <f t="shared" si="7"/>
        <v>107460</v>
      </c>
      <c r="P9" s="283" t="str">
        <f t="shared" si="4"/>
        <v>13 / 892</v>
      </c>
      <c r="Q9" s="283" t="str">
        <f t="shared" si="5"/>
        <v>12 / 899</v>
      </c>
      <c r="T9" s="1"/>
      <c r="U9" s="1"/>
      <c r="W9" s="1"/>
      <c r="X9" s="1"/>
      <c r="Y9" s="1"/>
      <c r="Z9" s="1"/>
      <c r="AA9" s="1"/>
      <c r="AB9" s="1"/>
    </row>
    <row r="10" spans="1:28">
      <c r="A10" s="77">
        <f>COUNT(B5:B9)</f>
        <v>5</v>
      </c>
      <c r="B10" s="359">
        <f t="shared" ref="B10:G10" si="8">SUM(B5:B9)</f>
        <v>439</v>
      </c>
      <c r="C10" s="359">
        <f t="shared" si="8"/>
        <v>16841</v>
      </c>
      <c r="D10" s="359">
        <f t="shared" si="8"/>
        <v>17267</v>
      </c>
      <c r="E10" s="359">
        <f t="shared" si="8"/>
        <v>382</v>
      </c>
      <c r="F10" s="359">
        <f t="shared" si="8"/>
        <v>15391</v>
      </c>
      <c r="G10" s="359">
        <f t="shared" si="8"/>
        <v>15773</v>
      </c>
      <c r="H10" s="284">
        <f>K10/(D10+G10)</f>
        <v>5.0105871670702173</v>
      </c>
      <c r="I10" s="285">
        <f>SUM(I5:I9)</f>
        <v>90340.599999999991</v>
      </c>
      <c r="J10" s="285">
        <f>SUM(J5:J9)</f>
        <v>75209.199999999983</v>
      </c>
      <c r="K10" s="285">
        <f>SUM(K5:K9)</f>
        <v>165549.79999999999</v>
      </c>
      <c r="L10" s="286">
        <f t="shared" si="2"/>
        <v>4.8593876950119887E-3</v>
      </c>
      <c r="M10" s="286">
        <f t="shared" si="3"/>
        <v>5.0791658467315183E-3</v>
      </c>
      <c r="N10" s="287">
        <f>O10/(D10+G10)</f>
        <v>61.981779661016951</v>
      </c>
      <c r="O10" s="288">
        <f>SUM(O5:O9)</f>
        <v>2047878</v>
      </c>
      <c r="P10" s="289" t="str">
        <f t="shared" si="4"/>
        <v>439 / 17267</v>
      </c>
      <c r="Q10" s="289" t="str">
        <f t="shared" si="5"/>
        <v>382 / 15773</v>
      </c>
      <c r="T10" s="1"/>
      <c r="U10" s="1"/>
      <c r="W10" s="1"/>
      <c r="X10" s="1"/>
      <c r="Y10" s="1"/>
      <c r="Z10" s="1"/>
      <c r="AA10" s="1"/>
      <c r="AB10" s="1"/>
    </row>
    <row r="11" spans="1:28" ht="15.75" thickBot="1">
      <c r="B11" s="2"/>
      <c r="C11" s="2"/>
      <c r="E11" s="4"/>
      <c r="F11" s="3"/>
      <c r="S11" s="39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thickBot="1">
      <c r="A12" s="1"/>
      <c r="B12" s="83" t="s">
        <v>117</v>
      </c>
      <c r="C12" s="290">
        <v>2.5449603211054279E-2</v>
      </c>
      <c r="D12" s="409" t="s">
        <v>118</v>
      </c>
      <c r="E12" s="410"/>
      <c r="F12" s="411"/>
      <c r="S12" s="39"/>
      <c r="T12" s="1"/>
      <c r="U12" s="1"/>
      <c r="V12" s="1"/>
      <c r="W12" s="1"/>
      <c r="X12" s="1"/>
      <c r="Y12" s="1"/>
      <c r="Z12" s="1"/>
      <c r="AA12" s="1"/>
      <c r="AB12" s="1"/>
    </row>
    <row r="13" spans="1:28" ht="26.25" thickBot="1">
      <c r="A13" s="291">
        <f>I40</f>
        <v>5.0791658467315183E-3</v>
      </c>
      <c r="B13" s="292" t="s">
        <v>160</v>
      </c>
      <c r="C13" s="23"/>
      <c r="D13" s="21" t="s">
        <v>119</v>
      </c>
      <c r="E13" s="22" t="s">
        <v>161</v>
      </c>
      <c r="F13" s="21" t="s">
        <v>162</v>
      </c>
      <c r="S13" s="39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thickBot="1">
      <c r="A14" s="293">
        <f>E40</f>
        <v>5.0105871670702173</v>
      </c>
      <c r="B14" s="294" t="s">
        <v>163</v>
      </c>
      <c r="C14" s="23"/>
      <c r="D14" s="295">
        <v>0.88</v>
      </c>
      <c r="E14" s="296">
        <v>0.77</v>
      </c>
      <c r="F14" s="297">
        <v>1.01</v>
      </c>
      <c r="G14" s="23"/>
      <c r="S14" s="39"/>
      <c r="T14" s="1"/>
      <c r="U14" s="1"/>
      <c r="V14" s="1"/>
      <c r="W14" s="1"/>
      <c r="X14" s="1"/>
      <c r="Y14" s="1"/>
      <c r="Z14" s="1"/>
      <c r="AA14" s="1"/>
      <c r="AB14" s="1"/>
    </row>
    <row r="15" spans="1:28" ht="15" hidden="1">
      <c r="A15" s="85"/>
      <c r="B15" s="84"/>
      <c r="C15" s="1"/>
      <c r="D15" s="1"/>
      <c r="E15" s="1"/>
      <c r="F15" s="1"/>
      <c r="G15" s="1"/>
      <c r="S15" s="39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hidden="1" thickBot="1">
      <c r="A16" s="85"/>
      <c r="B16" s="86"/>
      <c r="C16" s="24"/>
      <c r="D16" s="87">
        <f>C12*D14</f>
        <v>2.2395650825727767E-2</v>
      </c>
      <c r="E16" s="88">
        <f>C12*E14</f>
        <v>1.9596194472511794E-2</v>
      </c>
      <c r="F16" s="25">
        <f>C12*F14</f>
        <v>2.5704099243164823E-2</v>
      </c>
      <c r="G16" s="1"/>
      <c r="S16" s="39"/>
      <c r="T16" s="1"/>
      <c r="U16" s="1"/>
      <c r="V16" s="1"/>
      <c r="W16" s="1"/>
      <c r="X16" s="1"/>
      <c r="Y16" s="1"/>
      <c r="Z16" s="1"/>
      <c r="AA16" s="1"/>
      <c r="AB16" s="1"/>
    </row>
    <row r="17" spans="1:28" ht="15" hidden="1">
      <c r="A17" s="85"/>
      <c r="B17" s="84"/>
      <c r="C17" s="1"/>
      <c r="D17" s="1"/>
      <c r="E17" s="1"/>
      <c r="F17" s="1"/>
      <c r="G17" s="1"/>
      <c r="S17" s="39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hidden="1" thickBot="1">
      <c r="A18" s="85"/>
      <c r="B18" s="89"/>
      <c r="C18" s="90" t="s">
        <v>9</v>
      </c>
      <c r="D18" s="91">
        <f>C12-D16</f>
        <v>3.0539523853265124E-3</v>
      </c>
      <c r="E18" s="92">
        <f>C12-F16</f>
        <v>-2.5449603211054328E-4</v>
      </c>
      <c r="F18" s="93">
        <f>C12-E16</f>
        <v>5.853408738542485E-3</v>
      </c>
      <c r="G18" s="1"/>
      <c r="S18" s="39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hidden="1" thickBot="1">
      <c r="A19" s="85"/>
      <c r="B19" s="94"/>
      <c r="C19" s="95" t="s">
        <v>10</v>
      </c>
      <c r="D19" s="96">
        <f>1/D18</f>
        <v>327.44452886847654</v>
      </c>
      <c r="E19" s="97">
        <f>1/F18</f>
        <v>170.84062375746595</v>
      </c>
      <c r="F19" s="98">
        <f>1/E18</f>
        <v>-3929.3343464217096</v>
      </c>
      <c r="G19" s="1"/>
      <c r="S19" s="39"/>
      <c r="T19" s="1"/>
      <c r="U19" s="1"/>
      <c r="V19" s="1"/>
      <c r="W19" s="1"/>
      <c r="X19" s="1"/>
      <c r="Y19" s="1"/>
      <c r="Z19" s="1"/>
      <c r="AA19" s="1"/>
      <c r="AB19" s="1"/>
    </row>
    <row r="20" spans="1:28" ht="15" hidden="1">
      <c r="A20" s="85"/>
      <c r="B20" s="84"/>
      <c r="C20" s="23"/>
      <c r="D20" s="23"/>
      <c r="E20" s="23"/>
      <c r="F20" s="23"/>
      <c r="G20" s="1"/>
      <c r="S20" s="39"/>
      <c r="T20" s="1"/>
      <c r="U20" s="1"/>
      <c r="V20" s="1"/>
      <c r="W20" s="1"/>
      <c r="X20" s="1"/>
      <c r="Y20" s="1"/>
      <c r="Z20" s="1"/>
      <c r="AA20" s="1"/>
      <c r="AB20" s="1"/>
    </row>
    <row r="21" spans="1:28" ht="15" hidden="1">
      <c r="A21" s="85"/>
      <c r="B21" s="99" t="s">
        <v>120</v>
      </c>
      <c r="C21" s="27"/>
      <c r="D21" s="27"/>
      <c r="E21" s="28">
        <f>ROUND(D14,2)</f>
        <v>0.88</v>
      </c>
      <c r="F21" s="29">
        <f>ROUND(D18,4)</f>
        <v>3.0999999999999999E-3</v>
      </c>
      <c r="G21" s="30">
        <f>ROUND(D19,0)</f>
        <v>327</v>
      </c>
      <c r="S21" s="39"/>
      <c r="T21" s="1"/>
      <c r="U21" s="1"/>
      <c r="V21" s="1"/>
      <c r="W21" s="1"/>
      <c r="X21" s="1"/>
      <c r="Y21" s="1"/>
      <c r="Z21" s="1"/>
      <c r="AA21" s="1"/>
      <c r="AB21" s="1"/>
    </row>
    <row r="22" spans="1:28" ht="15" hidden="1">
      <c r="A22" s="85"/>
      <c r="B22" s="100" t="s">
        <v>121</v>
      </c>
      <c r="C22" s="101">
        <f>ROUND(D16,4)</f>
        <v>2.24E-2</v>
      </c>
      <c r="D22" s="31">
        <f>ROUND(C12,4)</f>
        <v>2.5399999999999999E-2</v>
      </c>
      <c r="E22" s="32">
        <f>ROUND(E14,2)</f>
        <v>0.77</v>
      </c>
      <c r="F22" s="33">
        <f>ROUND(E18,4)</f>
        <v>-2.9999999999999997E-4</v>
      </c>
      <c r="G22" s="34">
        <f>ROUND(E19,0)</f>
        <v>171</v>
      </c>
      <c r="S22" s="39"/>
      <c r="T22" s="1"/>
      <c r="U22" s="1"/>
      <c r="V22" s="1"/>
      <c r="W22" s="1"/>
      <c r="X22" s="1"/>
      <c r="Y22" s="1"/>
      <c r="Z22" s="1"/>
      <c r="AA22" s="1"/>
      <c r="AB22" s="1"/>
    </row>
    <row r="23" spans="1:28" ht="15" hidden="1">
      <c r="A23" s="85"/>
      <c r="B23" s="100" t="s">
        <v>122</v>
      </c>
      <c r="C23" s="35"/>
      <c r="D23" s="35"/>
      <c r="E23" s="32">
        <f>ROUND(F14,2)</f>
        <v>1.01</v>
      </c>
      <c r="F23" s="33">
        <f>ROUND(F18,4)</f>
        <v>5.8999999999999999E-3</v>
      </c>
      <c r="G23" s="34">
        <f>ROUND(F19,0)</f>
        <v>-3929</v>
      </c>
      <c r="S23" s="39"/>
      <c r="T23" s="1"/>
      <c r="U23" s="1"/>
      <c r="V23" s="1"/>
      <c r="W23" s="1"/>
      <c r="X23" s="1"/>
      <c r="Y23" s="1"/>
      <c r="Z23" s="1"/>
      <c r="AA23" s="1"/>
      <c r="AB23" s="1"/>
    </row>
    <row r="24" spans="1:28" ht="15" hidden="1">
      <c r="A24" s="85"/>
      <c r="B24" s="100" t="s">
        <v>123</v>
      </c>
      <c r="C24" s="36" t="s">
        <v>164</v>
      </c>
      <c r="D24" s="36" t="s">
        <v>124</v>
      </c>
      <c r="E24" s="37" t="s">
        <v>125</v>
      </c>
      <c r="F24" s="37" t="s">
        <v>126</v>
      </c>
      <c r="G24" s="36" t="s">
        <v>10</v>
      </c>
      <c r="S24" s="39"/>
      <c r="T24" s="1"/>
      <c r="U24" s="1"/>
      <c r="V24" s="1"/>
      <c r="W24" s="1"/>
      <c r="X24" s="1"/>
      <c r="Y24" s="1"/>
      <c r="Z24" s="1"/>
      <c r="AA24" s="1"/>
      <c r="AB24" s="1"/>
    </row>
    <row r="25" spans="1:28" ht="15" hidden="1">
      <c r="A25" s="85"/>
      <c r="B25" s="102" t="s">
        <v>127</v>
      </c>
      <c r="C25" s="36" t="str">
        <f>CONCATENATE(C22*100,B24)</f>
        <v>2,24%</v>
      </c>
      <c r="D25" s="36" t="str">
        <f>CONCATENATE(D22*100,B24)</f>
        <v>2,54%</v>
      </c>
      <c r="E25" s="36" t="str">
        <f>CONCATENATE(E21," ",B21,E22,B22,E23,B23)</f>
        <v>0,88 (0,77-1,01)</v>
      </c>
      <c r="F25" s="36" t="str">
        <f>CONCATENATE(F21*100,B24," ",B21,F22*100,B24," ",B25," ",F23*100,B24,B23)</f>
        <v>0,31% (-0,03% a 0,59%)</v>
      </c>
      <c r="G25" s="36" t="str">
        <f>CONCATENATE(G21," ",B21,G22," ",B25," ",G23,B23)</f>
        <v>327 (171 a -3929)</v>
      </c>
      <c r="S25" s="39"/>
      <c r="T25" s="1"/>
      <c r="U25" s="1"/>
      <c r="V25" s="1"/>
      <c r="W25" s="1"/>
      <c r="X25" s="1"/>
      <c r="Y25" s="1"/>
      <c r="Z25" s="1"/>
      <c r="AA25" s="1"/>
      <c r="AB25" s="1"/>
    </row>
    <row r="26" spans="1:28" ht="15" hidden="1">
      <c r="A26" s="103"/>
      <c r="B26" s="79"/>
      <c r="C26" s="16"/>
      <c r="D26" s="16"/>
      <c r="E26" s="16"/>
      <c r="F26" s="16"/>
      <c r="G26" s="16"/>
      <c r="S26" s="39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thickBot="1">
      <c r="A27" s="291">
        <f>A13*A14</f>
        <v>2.5449603211054279E-2</v>
      </c>
      <c r="B27" s="292" t="s">
        <v>165</v>
      </c>
      <c r="C27" s="1"/>
      <c r="D27" s="1"/>
      <c r="E27" s="1"/>
      <c r="F27" s="1"/>
      <c r="G27" s="1"/>
      <c r="S27" s="39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thickBot="1">
      <c r="A28" s="104"/>
      <c r="B28" s="1"/>
      <c r="C28" s="298" t="s">
        <v>166</v>
      </c>
      <c r="D28" s="299" t="s">
        <v>124</v>
      </c>
      <c r="E28" s="299" t="s">
        <v>125</v>
      </c>
      <c r="F28" s="299" t="s">
        <v>9</v>
      </c>
      <c r="G28" s="300" t="s">
        <v>10</v>
      </c>
      <c r="S28" s="39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thickBot="1">
      <c r="A29" s="105"/>
      <c r="B29" s="38"/>
      <c r="C29" s="301" t="str">
        <f>C25</f>
        <v>2,24%</v>
      </c>
      <c r="D29" s="302" t="str">
        <f>D25</f>
        <v>2,54%</v>
      </c>
      <c r="E29" s="302" t="str">
        <f>E25</f>
        <v>0,88 (0,77-1,01)</v>
      </c>
      <c r="F29" s="302" t="str">
        <f>F25</f>
        <v>0,31% (-0,03% a 0,59%)</v>
      </c>
      <c r="G29" s="303" t="str">
        <f>G25</f>
        <v>327 (171 a -3929)</v>
      </c>
      <c r="S29" s="39"/>
      <c r="T29" s="1"/>
      <c r="U29" s="1"/>
      <c r="V29" s="1"/>
      <c r="W29" s="1"/>
      <c r="X29" s="1"/>
      <c r="Y29" s="1"/>
      <c r="Z29" s="1"/>
      <c r="AA29" s="1"/>
      <c r="AB29" s="1"/>
    </row>
    <row r="30" spans="1:28" ht="15">
      <c r="B30" s="2"/>
      <c r="C30" s="2"/>
      <c r="E30" s="4"/>
      <c r="F30" s="3"/>
      <c r="S30" s="39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thickBot="1">
      <c r="D31" s="4"/>
      <c r="E31" s="4"/>
      <c r="S31" s="39"/>
      <c r="T31" s="1"/>
      <c r="U31" s="1"/>
      <c r="V31" s="1"/>
      <c r="W31" s="1"/>
      <c r="X31" s="1"/>
      <c r="Y31" s="1"/>
      <c r="Z31" s="1"/>
      <c r="AA31" s="1"/>
      <c r="AB31" s="1"/>
    </row>
    <row r="32" spans="1:28" ht="22.5" customHeight="1" thickBot="1">
      <c r="A32" s="369" t="s">
        <v>260</v>
      </c>
      <c r="B32" s="304" t="str">
        <f>B2</f>
        <v>IAM fatal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6"/>
      <c r="S32" s="39"/>
      <c r="T32" s="1"/>
      <c r="U32" s="1"/>
    </row>
    <row r="33" spans="1:256" ht="36" customHeight="1" thickBot="1">
      <c r="A33" s="397" t="s">
        <v>135</v>
      </c>
      <c r="B33" s="397" t="s">
        <v>136</v>
      </c>
      <c r="C33" s="401" t="s">
        <v>7</v>
      </c>
      <c r="D33" s="403" t="s">
        <v>137</v>
      </c>
      <c r="E33" s="397" t="s">
        <v>138</v>
      </c>
      <c r="F33" s="397" t="s">
        <v>242</v>
      </c>
      <c r="G33" s="397" t="s">
        <v>243</v>
      </c>
      <c r="H33" s="397" t="s">
        <v>244</v>
      </c>
      <c r="I33" s="397" t="s">
        <v>245</v>
      </c>
      <c r="J33" s="397" t="s">
        <v>139</v>
      </c>
      <c r="K33" s="399" t="s">
        <v>140</v>
      </c>
      <c r="L33" s="386" t="s">
        <v>141</v>
      </c>
      <c r="M33" s="387"/>
      <c r="N33" s="387"/>
      <c r="O33" s="388"/>
      <c r="S33" s="39"/>
      <c r="T33" s="1"/>
      <c r="U33" s="1"/>
    </row>
    <row r="34" spans="1:256" ht="43.5" customHeight="1" thickBot="1">
      <c r="A34" s="398"/>
      <c r="B34" s="398"/>
      <c r="C34" s="402"/>
      <c r="D34" s="404"/>
      <c r="E34" s="398"/>
      <c r="F34" s="398"/>
      <c r="G34" s="398"/>
      <c r="H34" s="398"/>
      <c r="I34" s="398"/>
      <c r="J34" s="398"/>
      <c r="K34" s="400"/>
      <c r="L34" s="307" t="s">
        <v>8</v>
      </c>
      <c r="M34" s="308" t="s">
        <v>9</v>
      </c>
      <c r="N34" s="309" t="s">
        <v>10</v>
      </c>
      <c r="O34" s="310" t="s">
        <v>142</v>
      </c>
      <c r="S34" s="39"/>
      <c r="T34" s="1"/>
      <c r="U34" s="1"/>
    </row>
    <row r="35" spans="1:256" ht="24.75" customHeight="1">
      <c r="A35" s="389">
        <v>9</v>
      </c>
      <c r="B35" s="311" t="str">
        <f>A5</f>
        <v>ACCORD 2008, 3,8y</v>
      </c>
      <c r="C35" s="312" t="s">
        <v>11</v>
      </c>
      <c r="D35" s="313"/>
      <c r="E35" s="314">
        <f t="shared" ref="E35:E40" si="9">H5</f>
        <v>3.8</v>
      </c>
      <c r="F35" s="315" t="str">
        <f t="shared" ref="F35:F40" si="10">P5</f>
        <v>19 / 5128</v>
      </c>
      <c r="G35" s="316">
        <f t="shared" ref="G35:G40" si="11">L5</f>
        <v>9.7503900156006254E-4</v>
      </c>
      <c r="H35" s="315" t="str">
        <f t="shared" ref="H35:H40" si="12">Q5</f>
        <v>13 / 5123</v>
      </c>
      <c r="I35" s="317">
        <f t="shared" ref="I35:J40" si="13">M5</f>
        <v>6.6778306296680617E-4</v>
      </c>
      <c r="J35" s="318">
        <f t="shared" si="13"/>
        <v>62</v>
      </c>
      <c r="K35" s="6">
        <v>3.6999999999999998E-2</v>
      </c>
      <c r="L35" s="5" t="s">
        <v>64</v>
      </c>
      <c r="M35" s="5" t="s">
        <v>65</v>
      </c>
      <c r="N35" s="5" t="s">
        <v>66</v>
      </c>
      <c r="O35" s="42" t="s">
        <v>115</v>
      </c>
      <c r="P35" s="40"/>
      <c r="Q35" s="43">
        <v>3</v>
      </c>
      <c r="R35" s="44">
        <f>Q35*K35</f>
        <v>0.11099999999999999</v>
      </c>
      <c r="S35" s="39"/>
      <c r="T35" s="1"/>
      <c r="U35" s="1"/>
    </row>
    <row r="36" spans="1:256" ht="24.75" customHeight="1">
      <c r="A36" s="390"/>
      <c r="B36" s="311" t="str">
        <f>A6</f>
        <v>ADVANCE 2008, 5y</v>
      </c>
      <c r="C36" s="312" t="s">
        <v>11</v>
      </c>
      <c r="D36" s="313"/>
      <c r="E36" s="314">
        <f t="shared" si="9"/>
        <v>5</v>
      </c>
      <c r="F36" s="315" t="str">
        <f t="shared" si="10"/>
        <v>157 / 5571</v>
      </c>
      <c r="G36" s="316">
        <f t="shared" si="11"/>
        <v>5.6363309998204991E-3</v>
      </c>
      <c r="H36" s="315" t="str">
        <f t="shared" si="12"/>
        <v>181 / 5569</v>
      </c>
      <c r="I36" s="316">
        <f t="shared" si="13"/>
        <v>6.5002693481774109E-3</v>
      </c>
      <c r="J36" s="318">
        <f t="shared" si="13"/>
        <v>66</v>
      </c>
      <c r="K36" s="6">
        <v>0.41799999999999998</v>
      </c>
      <c r="L36" s="5" t="s">
        <v>67</v>
      </c>
      <c r="M36" s="5" t="s">
        <v>68</v>
      </c>
      <c r="N36" s="5" t="s">
        <v>69</v>
      </c>
      <c r="O36" s="45" t="s">
        <v>116</v>
      </c>
      <c r="P36" s="40"/>
      <c r="Q36" s="43">
        <v>3.5</v>
      </c>
      <c r="R36" s="44">
        <f t="shared" ref="R36:R39" si="14">Q36*K36</f>
        <v>1.4629999999999999</v>
      </c>
      <c r="S36" s="39"/>
      <c r="T36" s="1"/>
      <c r="U36" s="1"/>
    </row>
    <row r="37" spans="1:256" ht="24.75" customHeight="1">
      <c r="A37" s="390"/>
      <c r="B37" s="311" t="str">
        <f>A7</f>
        <v>PROactive 2005, 2,8y</v>
      </c>
      <c r="C37" s="312" t="s">
        <v>11</v>
      </c>
      <c r="D37" s="313"/>
      <c r="E37" s="314">
        <f t="shared" si="9"/>
        <v>2.8</v>
      </c>
      <c r="F37" s="315" t="str">
        <f t="shared" si="10"/>
        <v>45 / 2605</v>
      </c>
      <c r="G37" s="316">
        <f t="shared" si="11"/>
        <v>6.1694543460378403E-3</v>
      </c>
      <c r="H37" s="315" t="str">
        <f t="shared" si="12"/>
        <v>58 / 2633</v>
      </c>
      <c r="I37" s="316">
        <f t="shared" si="13"/>
        <v>7.8671802940697734E-3</v>
      </c>
      <c r="J37" s="318">
        <f t="shared" si="13"/>
        <v>62</v>
      </c>
      <c r="K37" s="6">
        <v>0.125</v>
      </c>
      <c r="L37" s="5" t="s">
        <v>70</v>
      </c>
      <c r="M37" s="5" t="s">
        <v>71</v>
      </c>
      <c r="N37" s="5" t="s">
        <v>72</v>
      </c>
      <c r="O37" s="45" t="s">
        <v>116</v>
      </c>
      <c r="P37" s="40"/>
      <c r="Q37" s="43">
        <v>3.5</v>
      </c>
      <c r="R37" s="44">
        <f t="shared" si="14"/>
        <v>0.4375</v>
      </c>
      <c r="S37" s="39"/>
      <c r="T37" s="1"/>
      <c r="U37" s="1"/>
    </row>
    <row r="38" spans="1:256" ht="24.75" customHeight="1">
      <c r="A38" s="390"/>
      <c r="B38" s="311" t="str">
        <f>A8</f>
        <v>UKPDS 1998, 10y</v>
      </c>
      <c r="C38" s="312" t="s">
        <v>11</v>
      </c>
      <c r="D38" s="313"/>
      <c r="E38" s="314">
        <f t="shared" si="9"/>
        <v>10</v>
      </c>
      <c r="F38" s="315" t="str">
        <f t="shared" si="10"/>
        <v>205 / 3071</v>
      </c>
      <c r="G38" s="316">
        <f t="shared" si="11"/>
        <v>6.6753500488440243E-3</v>
      </c>
      <c r="H38" s="315" t="str">
        <f t="shared" si="12"/>
        <v>118 / 1549</v>
      </c>
      <c r="I38" s="316">
        <f t="shared" si="13"/>
        <v>7.6178179470626209E-3</v>
      </c>
      <c r="J38" s="318">
        <f t="shared" si="13"/>
        <v>53</v>
      </c>
      <c r="K38" s="6">
        <v>0.38900000000000001</v>
      </c>
      <c r="L38" s="5" t="s">
        <v>73</v>
      </c>
      <c r="M38" s="5" t="s">
        <v>74</v>
      </c>
      <c r="N38" s="5" t="s">
        <v>75</v>
      </c>
      <c r="O38" s="45" t="s">
        <v>115</v>
      </c>
      <c r="P38" s="40"/>
      <c r="Q38" s="43">
        <v>3</v>
      </c>
      <c r="R38" s="44">
        <f t="shared" si="14"/>
        <v>1.167</v>
      </c>
      <c r="S38" s="39"/>
      <c r="T38" s="1"/>
      <c r="U38" s="1"/>
    </row>
    <row r="39" spans="1:256" ht="24.75" customHeight="1" thickBot="1">
      <c r="A39" s="391"/>
      <c r="B39" s="311" t="str">
        <f>A9</f>
        <v>VADT 2009, 5,6y</v>
      </c>
      <c r="C39" s="312" t="s">
        <v>11</v>
      </c>
      <c r="D39" s="313"/>
      <c r="E39" s="314">
        <f t="shared" si="9"/>
        <v>5.6</v>
      </c>
      <c r="F39" s="315" t="str">
        <f t="shared" si="10"/>
        <v>13 / 892</v>
      </c>
      <c r="G39" s="316">
        <f t="shared" si="11"/>
        <v>2.6024983984625242E-3</v>
      </c>
      <c r="H39" s="315" t="str">
        <f t="shared" si="12"/>
        <v>12 / 899</v>
      </c>
      <c r="I39" s="316">
        <f t="shared" si="13"/>
        <v>2.3836008263149531E-3</v>
      </c>
      <c r="J39" s="318">
        <f t="shared" si="13"/>
        <v>60</v>
      </c>
      <c r="K39" s="6">
        <v>3.1E-2</v>
      </c>
      <c r="L39" s="5" t="s">
        <v>76</v>
      </c>
      <c r="M39" s="5" t="s">
        <v>77</v>
      </c>
      <c r="N39" s="5" t="s">
        <v>78</v>
      </c>
      <c r="O39" s="45" t="s">
        <v>116</v>
      </c>
      <c r="P39" s="40"/>
      <c r="Q39" s="43">
        <v>3.5</v>
      </c>
      <c r="R39" s="44">
        <f t="shared" si="14"/>
        <v>0.1085</v>
      </c>
      <c r="S39" s="39"/>
      <c r="T39" s="1"/>
      <c r="U39" s="1"/>
    </row>
    <row r="40" spans="1:256" ht="24" customHeight="1" thickBot="1">
      <c r="A40" s="319" t="s">
        <v>143</v>
      </c>
      <c r="B40" s="320">
        <f>COUNT(E35:E39)</f>
        <v>5</v>
      </c>
      <c r="C40" s="321"/>
      <c r="D40" s="108" t="s">
        <v>167</v>
      </c>
      <c r="E40" s="322">
        <f t="shared" si="9"/>
        <v>5.0105871670702173</v>
      </c>
      <c r="F40" s="323" t="str">
        <f t="shared" si="10"/>
        <v>439 / 17267</v>
      </c>
      <c r="G40" s="324">
        <f t="shared" si="11"/>
        <v>4.8593876950119887E-3</v>
      </c>
      <c r="H40" s="323" t="str">
        <f t="shared" si="12"/>
        <v>382 / 15773</v>
      </c>
      <c r="I40" s="324">
        <f t="shared" si="13"/>
        <v>5.0791658467315183E-3</v>
      </c>
      <c r="J40" s="322">
        <f t="shared" si="13"/>
        <v>61.981779661016951</v>
      </c>
      <c r="K40" s="6">
        <v>1</v>
      </c>
      <c r="L40" s="360" t="s">
        <v>79</v>
      </c>
      <c r="M40" s="9"/>
      <c r="N40" s="9"/>
      <c r="O40" s="48" t="s">
        <v>116</v>
      </c>
      <c r="P40" s="40"/>
      <c r="Q40" s="40"/>
      <c r="R40" s="49">
        <f>SUM(R35:R39)</f>
        <v>3.2869999999999995</v>
      </c>
      <c r="S40" s="39"/>
      <c r="T40" s="1"/>
      <c r="U40" s="1"/>
    </row>
    <row r="41" spans="1:256" ht="13.5" thickBot="1">
      <c r="A41" s="325"/>
      <c r="B41" s="325"/>
      <c r="C41" s="326"/>
      <c r="D41" s="327"/>
      <c r="E41" s="328"/>
      <c r="F41" s="329"/>
      <c r="G41" s="330"/>
      <c r="H41" s="329"/>
      <c r="I41" s="331"/>
      <c r="J41" s="332"/>
      <c r="K41" s="50"/>
      <c r="L41" s="364"/>
      <c r="M41" s="47"/>
      <c r="N41" s="47"/>
      <c r="O41" s="50"/>
      <c r="P41" s="40"/>
      <c r="Q41" s="40"/>
      <c r="R41" s="40"/>
    </row>
    <row r="42" spans="1:256" ht="48" thickBot="1">
      <c r="A42" s="334"/>
      <c r="B42" s="392" t="s">
        <v>246</v>
      </c>
      <c r="C42" s="393"/>
      <c r="D42" s="393"/>
      <c r="E42" s="393"/>
      <c r="F42" s="393"/>
      <c r="G42" s="393"/>
      <c r="H42" s="393"/>
      <c r="I42" s="394"/>
      <c r="J42" s="51" t="s">
        <v>144</v>
      </c>
      <c r="K42" s="52" t="s">
        <v>145</v>
      </c>
      <c r="L42" s="53" t="s">
        <v>8</v>
      </c>
      <c r="M42" s="54" t="s">
        <v>9</v>
      </c>
      <c r="N42" s="55" t="s">
        <v>10</v>
      </c>
      <c r="O42" s="47"/>
      <c r="P42" s="41"/>
      <c r="Q42" s="41"/>
      <c r="R42" s="41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30" customHeight="1">
      <c r="A43" s="395" t="s">
        <v>146</v>
      </c>
      <c r="B43" s="335" t="s">
        <v>147</v>
      </c>
      <c r="C43" s="336">
        <f>I40</f>
        <v>5.0791658467315183E-3</v>
      </c>
      <c r="D43" s="337" t="s">
        <v>148</v>
      </c>
      <c r="E43" s="337"/>
      <c r="F43" s="337"/>
      <c r="G43" s="337"/>
      <c r="H43" s="338">
        <f>J40</f>
        <v>61.981779661016951</v>
      </c>
      <c r="I43" s="339" t="s">
        <v>149</v>
      </c>
      <c r="J43" s="340">
        <v>4.4999999999999997E-3</v>
      </c>
      <c r="K43" s="57">
        <v>5.1000000000000004E-3</v>
      </c>
      <c r="L43" s="365" t="s">
        <v>79</v>
      </c>
      <c r="M43" s="58" t="s">
        <v>224</v>
      </c>
      <c r="N43" s="260" t="s">
        <v>225</v>
      </c>
      <c r="O43" s="59" t="s">
        <v>150</v>
      </c>
      <c r="P43" s="40"/>
      <c r="Q43" s="40"/>
      <c r="R43" s="40"/>
    </row>
    <row r="44" spans="1:256" ht="30" customHeight="1" thickBot="1">
      <c r="A44" s="396"/>
      <c r="B44" s="341" t="s">
        <v>147</v>
      </c>
      <c r="C44" s="342">
        <f>I40*E40</f>
        <v>2.5449603211054279E-2</v>
      </c>
      <c r="D44" s="343" t="s">
        <v>151</v>
      </c>
      <c r="E44" s="344"/>
      <c r="F44" s="345"/>
      <c r="G44" s="346">
        <f>E40</f>
        <v>5.0105871670702173</v>
      </c>
      <c r="H44" s="343" t="s">
        <v>2</v>
      </c>
      <c r="I44" s="347"/>
      <c r="J44" s="60">
        <v>2.24E-2</v>
      </c>
      <c r="K44" s="61">
        <v>2.5399999999999999E-2</v>
      </c>
      <c r="L44" s="366" t="s">
        <v>79</v>
      </c>
      <c r="M44" s="62" t="s">
        <v>226</v>
      </c>
      <c r="N44" s="261" t="s">
        <v>227</v>
      </c>
      <c r="O44" s="63" t="s">
        <v>170</v>
      </c>
      <c r="P44" s="40"/>
      <c r="Q44" s="40"/>
      <c r="R44" s="40"/>
    </row>
    <row r="45" spans="1:256" ht="19.5" thickBot="1">
      <c r="A45" s="348"/>
      <c r="B45" s="349"/>
      <c r="C45" s="350"/>
      <c r="D45" s="351"/>
      <c r="E45" s="352"/>
      <c r="F45" s="353"/>
      <c r="G45" s="354"/>
      <c r="H45" s="351"/>
      <c r="I45" s="353"/>
      <c r="J45" s="64"/>
      <c r="K45" s="64"/>
      <c r="L45" s="367"/>
      <c r="M45" s="66"/>
      <c r="N45" s="66"/>
      <c r="O45" s="67"/>
      <c r="P45" s="40"/>
      <c r="Q45" s="40"/>
      <c r="R45" s="40"/>
    </row>
    <row r="46" spans="1:256" ht="19.5" thickBot="1">
      <c r="A46" s="355"/>
      <c r="B46" s="355"/>
      <c r="C46" s="333"/>
      <c r="D46" s="333"/>
      <c r="E46" s="333"/>
      <c r="F46" s="333"/>
      <c r="G46" s="333"/>
      <c r="H46" s="333"/>
      <c r="I46" s="356"/>
      <c r="J46" s="361"/>
      <c r="K46" s="362" t="s">
        <v>152</v>
      </c>
      <c r="L46" s="368" t="s">
        <v>228</v>
      </c>
      <c r="M46" s="68"/>
      <c r="N46" s="69"/>
      <c r="O46" s="70"/>
      <c r="P46" s="40"/>
      <c r="Q46" s="40"/>
      <c r="R46" s="40"/>
    </row>
    <row r="47" spans="1:256">
      <c r="A47" s="355"/>
      <c r="B47" s="355"/>
      <c r="C47" s="333"/>
      <c r="D47" s="333"/>
      <c r="E47" s="333"/>
      <c r="F47" s="333"/>
      <c r="G47" s="333"/>
      <c r="H47" s="333"/>
      <c r="I47" s="370" t="s">
        <v>153</v>
      </c>
      <c r="J47" s="363">
        <f>E40</f>
        <v>5.0105871670702173</v>
      </c>
      <c r="K47" s="363">
        <f>E40</f>
        <v>5.0105871670702173</v>
      </c>
      <c r="L47" s="50"/>
      <c r="M47" s="50"/>
      <c r="N47" s="50"/>
      <c r="O47" s="50"/>
      <c r="P47" s="40"/>
      <c r="Q47" s="40"/>
      <c r="R47" s="40"/>
    </row>
    <row r="48" spans="1:256">
      <c r="A48" s="355"/>
      <c r="B48" s="355"/>
      <c r="C48" s="333"/>
      <c r="D48" s="333"/>
      <c r="E48" s="333"/>
      <c r="F48" s="333"/>
      <c r="G48" s="333"/>
      <c r="H48" s="333"/>
      <c r="I48" s="371"/>
      <c r="J48" s="372" t="s">
        <v>0</v>
      </c>
      <c r="K48" s="372" t="s">
        <v>132</v>
      </c>
      <c r="L48" s="372" t="s">
        <v>237</v>
      </c>
      <c r="M48" s="50"/>
      <c r="N48" s="50"/>
      <c r="O48" s="50"/>
      <c r="P48" s="40"/>
      <c r="Q48" s="40"/>
      <c r="R48" s="40"/>
    </row>
    <row r="49" spans="1:18">
      <c r="A49" s="333"/>
      <c r="B49" s="355"/>
      <c r="C49" s="355"/>
      <c r="D49" s="333"/>
      <c r="E49" s="333"/>
      <c r="F49" s="333"/>
      <c r="G49" s="333"/>
      <c r="H49" s="333"/>
      <c r="I49" s="373" t="s">
        <v>154</v>
      </c>
      <c r="J49" s="376">
        <f>J43*1000*J47</f>
        <v>22.547642251815979</v>
      </c>
      <c r="K49" s="376">
        <f>K43*1000*K47</f>
        <v>25.553994552058111</v>
      </c>
      <c r="L49" s="375">
        <f>((J49*I10)+(K49*J10))/K10</f>
        <v>23.91342675544794</v>
      </c>
      <c r="M49" s="50"/>
      <c r="N49" s="50"/>
      <c r="O49" s="50"/>
      <c r="P49" s="40"/>
      <c r="Q49" s="40"/>
      <c r="R49" s="40"/>
    </row>
    <row r="50" spans="1:18">
      <c r="A50" s="1"/>
      <c r="B50" s="1"/>
      <c r="C50" s="1"/>
      <c r="D50" s="1"/>
      <c r="E50" s="1"/>
      <c r="F50" s="1"/>
      <c r="G50" s="1"/>
    </row>
    <row r="51" spans="1:18">
      <c r="A51" s="1"/>
      <c r="B51" s="1"/>
      <c r="C51" s="1"/>
      <c r="D51" s="1"/>
      <c r="E51" s="1"/>
      <c r="F51" s="1"/>
      <c r="G51" s="1"/>
    </row>
    <row r="52" spans="1:18">
      <c r="A52" s="1"/>
      <c r="B52" s="1"/>
      <c r="C52" s="1"/>
      <c r="D52" s="1"/>
      <c r="E52" s="1"/>
      <c r="F52" s="1"/>
      <c r="G52" s="1"/>
    </row>
    <row r="53" spans="1:18">
      <c r="A53" s="1"/>
      <c r="B53" s="1"/>
      <c r="C53" s="1"/>
      <c r="D53" s="1"/>
      <c r="E53" s="1"/>
      <c r="F53" s="1"/>
      <c r="G53" s="1"/>
    </row>
    <row r="54" spans="1:18">
      <c r="A54" s="1"/>
      <c r="B54" s="1"/>
      <c r="C54" s="1"/>
      <c r="D54" s="1"/>
      <c r="E54" s="1"/>
      <c r="F54" s="1"/>
      <c r="G54" s="1"/>
    </row>
    <row r="55" spans="1:18">
      <c r="A55" s="1"/>
      <c r="B55" s="1"/>
      <c r="C55" s="1"/>
      <c r="D55" s="1"/>
      <c r="E55" s="1"/>
      <c r="F55" s="1"/>
      <c r="G55" s="1"/>
    </row>
    <row r="56" spans="1:18">
      <c r="A56" s="1"/>
      <c r="B56" s="1"/>
      <c r="C56" s="1"/>
      <c r="D56" s="1"/>
      <c r="E56" s="1"/>
      <c r="F56" s="1"/>
      <c r="G56" s="1"/>
    </row>
    <row r="57" spans="1:18">
      <c r="A57" s="1"/>
      <c r="B57" s="1"/>
      <c r="C57" s="1"/>
      <c r="D57" s="1"/>
      <c r="E57" s="1"/>
      <c r="F57" s="1"/>
      <c r="G57" s="1"/>
    </row>
    <row r="58" spans="1:18">
      <c r="A58" s="1"/>
      <c r="B58" s="1"/>
      <c r="C58" s="1"/>
      <c r="D58" s="1"/>
      <c r="E58" s="1"/>
      <c r="F58" s="1"/>
      <c r="G58" s="1"/>
    </row>
    <row r="59" spans="1:18">
      <c r="A59" s="1"/>
      <c r="B59" s="1"/>
      <c r="C59" s="1"/>
      <c r="D59" s="1"/>
      <c r="E59" s="1"/>
      <c r="F59" s="1"/>
      <c r="G59" s="1"/>
    </row>
    <row r="60" spans="1:18">
      <c r="A60" s="1"/>
      <c r="B60" s="1"/>
      <c r="C60" s="1"/>
      <c r="D60" s="1"/>
      <c r="E60" s="1"/>
      <c r="F60" s="1"/>
      <c r="G60" s="1"/>
    </row>
    <row r="61" spans="1:18">
      <c r="A61" s="1"/>
      <c r="B61" s="1"/>
      <c r="C61" s="1"/>
      <c r="D61" s="1"/>
      <c r="E61" s="1"/>
      <c r="F61" s="1"/>
      <c r="G61" s="1"/>
    </row>
    <row r="62" spans="1:18">
      <c r="A62" s="1"/>
      <c r="B62" s="1"/>
      <c r="C62" s="1"/>
      <c r="D62" s="1"/>
      <c r="E62" s="1"/>
      <c r="F62" s="1"/>
      <c r="G62" s="1"/>
    </row>
    <row r="63" spans="1:18">
      <c r="A63" s="1"/>
      <c r="B63" s="1"/>
      <c r="C63" s="1"/>
      <c r="D63" s="1"/>
      <c r="E63" s="1"/>
      <c r="F63" s="1"/>
      <c r="G63" s="1"/>
    </row>
    <row r="64" spans="1:18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</sheetData>
  <mergeCells count="20">
    <mergeCell ref="B3:D3"/>
    <mergeCell ref="E3:G3"/>
    <mergeCell ref="I3:K3"/>
    <mergeCell ref="L3:M3"/>
    <mergeCell ref="D12:F12"/>
    <mergeCell ref="L33:O33"/>
    <mergeCell ref="B42:I42"/>
    <mergeCell ref="A43:A44"/>
    <mergeCell ref="A35:A39"/>
    <mergeCell ref="F33:F34"/>
    <mergeCell ref="G33:G34"/>
    <mergeCell ref="H33:H34"/>
    <mergeCell ref="I33:I34"/>
    <mergeCell ref="J33:J34"/>
    <mergeCell ref="K33:K34"/>
    <mergeCell ref="A33:A34"/>
    <mergeCell ref="B33:B34"/>
    <mergeCell ref="C33:C34"/>
    <mergeCell ref="D33:D34"/>
    <mergeCell ref="E33:E34"/>
  </mergeCells>
  <pageMargins left="0.7" right="0.7" top="0.75" bottom="0.75" header="0.3" footer="0.3"/>
  <ignoredErrors>
    <ignoredError sqref="H10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zoomScaleNormal="100" workbookViewId="0">
      <selection activeCell="B30" sqref="B30"/>
    </sheetView>
  </sheetViews>
  <sheetFormatPr baseColWidth="10" defaultColWidth="16" defaultRowHeight="12.75"/>
  <cols>
    <col min="1" max="1" width="21.42578125" style="2" customWidth="1"/>
    <col min="2" max="2" width="23.5703125" style="262" customWidth="1"/>
    <col min="3" max="3" width="15" style="262" customWidth="1"/>
    <col min="4" max="4" width="15.140625" style="2" customWidth="1"/>
    <col min="5" max="5" width="16" style="2" customWidth="1"/>
    <col min="6" max="6" width="20" style="2" customWidth="1"/>
    <col min="7" max="7" width="17.140625" style="2" customWidth="1"/>
    <col min="8" max="8" width="15.28515625" style="2" customWidth="1"/>
    <col min="9" max="9" width="12.7109375" style="2" customWidth="1"/>
    <col min="10" max="10" width="15.140625" style="2" customWidth="1"/>
    <col min="11" max="11" width="15.28515625" style="2" customWidth="1"/>
    <col min="12" max="12" width="23.85546875" style="2" customWidth="1"/>
    <col min="13" max="13" width="25.5703125" style="2" customWidth="1"/>
    <col min="14" max="14" width="25.28515625" style="2" customWidth="1"/>
    <col min="15" max="15" width="16.7109375" style="2" customWidth="1"/>
    <col min="16" max="16" width="16" style="2"/>
    <col min="17" max="17" width="12.140625" style="2" customWidth="1"/>
    <col min="18" max="18" width="4.42578125" style="2" customWidth="1"/>
    <col min="19" max="19" width="34.85546875" style="2" customWidth="1"/>
    <col min="20" max="256" width="16" style="2"/>
    <col min="257" max="257" width="21.42578125" style="2" customWidth="1"/>
    <col min="258" max="258" width="23.5703125" style="2" customWidth="1"/>
    <col min="259" max="259" width="15" style="2" customWidth="1"/>
    <col min="260" max="260" width="15.140625" style="2" customWidth="1"/>
    <col min="261" max="261" width="16" style="2" customWidth="1"/>
    <col min="262" max="262" width="16.140625" style="2" customWidth="1"/>
    <col min="263" max="263" width="17.140625" style="2" customWidth="1"/>
    <col min="264" max="264" width="15.28515625" style="2" customWidth="1"/>
    <col min="265" max="265" width="12.7109375" style="2" customWidth="1"/>
    <col min="266" max="266" width="15.140625" style="2" customWidth="1"/>
    <col min="267" max="267" width="15.28515625" style="2" customWidth="1"/>
    <col min="268" max="268" width="23.85546875" style="2" customWidth="1"/>
    <col min="269" max="269" width="25.5703125" style="2" customWidth="1"/>
    <col min="270" max="270" width="20.5703125" style="2" customWidth="1"/>
    <col min="271" max="271" width="16.7109375" style="2" customWidth="1"/>
    <col min="272" max="272" width="16" style="2"/>
    <col min="273" max="273" width="12.140625" style="2" customWidth="1"/>
    <col min="274" max="274" width="4.42578125" style="2" customWidth="1"/>
    <col min="275" max="275" width="34.85546875" style="2" customWidth="1"/>
    <col min="276" max="512" width="16" style="2"/>
    <col min="513" max="513" width="21.42578125" style="2" customWidth="1"/>
    <col min="514" max="514" width="23.5703125" style="2" customWidth="1"/>
    <col min="515" max="515" width="15" style="2" customWidth="1"/>
    <col min="516" max="516" width="15.140625" style="2" customWidth="1"/>
    <col min="517" max="517" width="16" style="2" customWidth="1"/>
    <col min="518" max="518" width="16.140625" style="2" customWidth="1"/>
    <col min="519" max="519" width="17.140625" style="2" customWidth="1"/>
    <col min="520" max="520" width="15.28515625" style="2" customWidth="1"/>
    <col min="521" max="521" width="12.7109375" style="2" customWidth="1"/>
    <col min="522" max="522" width="15.140625" style="2" customWidth="1"/>
    <col min="523" max="523" width="15.28515625" style="2" customWidth="1"/>
    <col min="524" max="524" width="23.85546875" style="2" customWidth="1"/>
    <col min="525" max="525" width="25.5703125" style="2" customWidth="1"/>
    <col min="526" max="526" width="20.5703125" style="2" customWidth="1"/>
    <col min="527" max="527" width="16.7109375" style="2" customWidth="1"/>
    <col min="528" max="528" width="16" style="2"/>
    <col min="529" max="529" width="12.140625" style="2" customWidth="1"/>
    <col min="530" max="530" width="4.42578125" style="2" customWidth="1"/>
    <col min="531" max="531" width="34.85546875" style="2" customWidth="1"/>
    <col min="532" max="768" width="16" style="2"/>
    <col min="769" max="769" width="21.42578125" style="2" customWidth="1"/>
    <col min="770" max="770" width="23.5703125" style="2" customWidth="1"/>
    <col min="771" max="771" width="15" style="2" customWidth="1"/>
    <col min="772" max="772" width="15.140625" style="2" customWidth="1"/>
    <col min="773" max="773" width="16" style="2" customWidth="1"/>
    <col min="774" max="774" width="16.140625" style="2" customWidth="1"/>
    <col min="775" max="775" width="17.140625" style="2" customWidth="1"/>
    <col min="776" max="776" width="15.28515625" style="2" customWidth="1"/>
    <col min="777" max="777" width="12.7109375" style="2" customWidth="1"/>
    <col min="778" max="778" width="15.140625" style="2" customWidth="1"/>
    <col min="779" max="779" width="15.28515625" style="2" customWidth="1"/>
    <col min="780" max="780" width="23.85546875" style="2" customWidth="1"/>
    <col min="781" max="781" width="25.5703125" style="2" customWidth="1"/>
    <col min="782" max="782" width="20.5703125" style="2" customWidth="1"/>
    <col min="783" max="783" width="16.7109375" style="2" customWidth="1"/>
    <col min="784" max="784" width="16" style="2"/>
    <col min="785" max="785" width="12.140625" style="2" customWidth="1"/>
    <col min="786" max="786" width="4.42578125" style="2" customWidth="1"/>
    <col min="787" max="787" width="34.85546875" style="2" customWidth="1"/>
    <col min="788" max="1024" width="16" style="2"/>
    <col min="1025" max="1025" width="21.42578125" style="2" customWidth="1"/>
    <col min="1026" max="1026" width="23.5703125" style="2" customWidth="1"/>
    <col min="1027" max="1027" width="15" style="2" customWidth="1"/>
    <col min="1028" max="1028" width="15.140625" style="2" customWidth="1"/>
    <col min="1029" max="1029" width="16" style="2" customWidth="1"/>
    <col min="1030" max="1030" width="16.140625" style="2" customWidth="1"/>
    <col min="1031" max="1031" width="17.140625" style="2" customWidth="1"/>
    <col min="1032" max="1032" width="15.28515625" style="2" customWidth="1"/>
    <col min="1033" max="1033" width="12.7109375" style="2" customWidth="1"/>
    <col min="1034" max="1034" width="15.140625" style="2" customWidth="1"/>
    <col min="1035" max="1035" width="15.28515625" style="2" customWidth="1"/>
    <col min="1036" max="1036" width="23.85546875" style="2" customWidth="1"/>
    <col min="1037" max="1037" width="25.5703125" style="2" customWidth="1"/>
    <col min="1038" max="1038" width="20.5703125" style="2" customWidth="1"/>
    <col min="1039" max="1039" width="16.7109375" style="2" customWidth="1"/>
    <col min="1040" max="1040" width="16" style="2"/>
    <col min="1041" max="1041" width="12.140625" style="2" customWidth="1"/>
    <col min="1042" max="1042" width="4.42578125" style="2" customWidth="1"/>
    <col min="1043" max="1043" width="34.85546875" style="2" customWidth="1"/>
    <col min="1044" max="1280" width="16" style="2"/>
    <col min="1281" max="1281" width="21.42578125" style="2" customWidth="1"/>
    <col min="1282" max="1282" width="23.5703125" style="2" customWidth="1"/>
    <col min="1283" max="1283" width="15" style="2" customWidth="1"/>
    <col min="1284" max="1284" width="15.140625" style="2" customWidth="1"/>
    <col min="1285" max="1285" width="16" style="2" customWidth="1"/>
    <col min="1286" max="1286" width="16.140625" style="2" customWidth="1"/>
    <col min="1287" max="1287" width="17.140625" style="2" customWidth="1"/>
    <col min="1288" max="1288" width="15.28515625" style="2" customWidth="1"/>
    <col min="1289" max="1289" width="12.7109375" style="2" customWidth="1"/>
    <col min="1290" max="1290" width="15.140625" style="2" customWidth="1"/>
    <col min="1291" max="1291" width="15.28515625" style="2" customWidth="1"/>
    <col min="1292" max="1292" width="23.85546875" style="2" customWidth="1"/>
    <col min="1293" max="1293" width="25.5703125" style="2" customWidth="1"/>
    <col min="1294" max="1294" width="20.5703125" style="2" customWidth="1"/>
    <col min="1295" max="1295" width="16.7109375" style="2" customWidth="1"/>
    <col min="1296" max="1296" width="16" style="2"/>
    <col min="1297" max="1297" width="12.140625" style="2" customWidth="1"/>
    <col min="1298" max="1298" width="4.42578125" style="2" customWidth="1"/>
    <col min="1299" max="1299" width="34.85546875" style="2" customWidth="1"/>
    <col min="1300" max="1536" width="16" style="2"/>
    <col min="1537" max="1537" width="21.42578125" style="2" customWidth="1"/>
    <col min="1538" max="1538" width="23.5703125" style="2" customWidth="1"/>
    <col min="1539" max="1539" width="15" style="2" customWidth="1"/>
    <col min="1540" max="1540" width="15.140625" style="2" customWidth="1"/>
    <col min="1541" max="1541" width="16" style="2" customWidth="1"/>
    <col min="1542" max="1542" width="16.140625" style="2" customWidth="1"/>
    <col min="1543" max="1543" width="17.140625" style="2" customWidth="1"/>
    <col min="1544" max="1544" width="15.28515625" style="2" customWidth="1"/>
    <col min="1545" max="1545" width="12.7109375" style="2" customWidth="1"/>
    <col min="1546" max="1546" width="15.140625" style="2" customWidth="1"/>
    <col min="1547" max="1547" width="15.28515625" style="2" customWidth="1"/>
    <col min="1548" max="1548" width="23.85546875" style="2" customWidth="1"/>
    <col min="1549" max="1549" width="25.5703125" style="2" customWidth="1"/>
    <col min="1550" max="1550" width="20.5703125" style="2" customWidth="1"/>
    <col min="1551" max="1551" width="16.7109375" style="2" customWidth="1"/>
    <col min="1552" max="1552" width="16" style="2"/>
    <col min="1553" max="1553" width="12.140625" style="2" customWidth="1"/>
    <col min="1554" max="1554" width="4.42578125" style="2" customWidth="1"/>
    <col min="1555" max="1555" width="34.85546875" style="2" customWidth="1"/>
    <col min="1556" max="1792" width="16" style="2"/>
    <col min="1793" max="1793" width="21.42578125" style="2" customWidth="1"/>
    <col min="1794" max="1794" width="23.5703125" style="2" customWidth="1"/>
    <col min="1795" max="1795" width="15" style="2" customWidth="1"/>
    <col min="1796" max="1796" width="15.140625" style="2" customWidth="1"/>
    <col min="1797" max="1797" width="16" style="2" customWidth="1"/>
    <col min="1798" max="1798" width="16.140625" style="2" customWidth="1"/>
    <col min="1799" max="1799" width="17.140625" style="2" customWidth="1"/>
    <col min="1800" max="1800" width="15.28515625" style="2" customWidth="1"/>
    <col min="1801" max="1801" width="12.7109375" style="2" customWidth="1"/>
    <col min="1802" max="1802" width="15.140625" style="2" customWidth="1"/>
    <col min="1803" max="1803" width="15.28515625" style="2" customWidth="1"/>
    <col min="1804" max="1804" width="23.85546875" style="2" customWidth="1"/>
    <col min="1805" max="1805" width="25.5703125" style="2" customWidth="1"/>
    <col min="1806" max="1806" width="20.5703125" style="2" customWidth="1"/>
    <col min="1807" max="1807" width="16.7109375" style="2" customWidth="1"/>
    <col min="1808" max="1808" width="16" style="2"/>
    <col min="1809" max="1809" width="12.140625" style="2" customWidth="1"/>
    <col min="1810" max="1810" width="4.42578125" style="2" customWidth="1"/>
    <col min="1811" max="1811" width="34.85546875" style="2" customWidth="1"/>
    <col min="1812" max="2048" width="16" style="2"/>
    <col min="2049" max="2049" width="21.42578125" style="2" customWidth="1"/>
    <col min="2050" max="2050" width="23.5703125" style="2" customWidth="1"/>
    <col min="2051" max="2051" width="15" style="2" customWidth="1"/>
    <col min="2052" max="2052" width="15.140625" style="2" customWidth="1"/>
    <col min="2053" max="2053" width="16" style="2" customWidth="1"/>
    <col min="2054" max="2054" width="16.140625" style="2" customWidth="1"/>
    <col min="2055" max="2055" width="17.140625" style="2" customWidth="1"/>
    <col min="2056" max="2056" width="15.28515625" style="2" customWidth="1"/>
    <col min="2057" max="2057" width="12.7109375" style="2" customWidth="1"/>
    <col min="2058" max="2058" width="15.140625" style="2" customWidth="1"/>
    <col min="2059" max="2059" width="15.28515625" style="2" customWidth="1"/>
    <col min="2060" max="2060" width="23.85546875" style="2" customWidth="1"/>
    <col min="2061" max="2061" width="25.5703125" style="2" customWidth="1"/>
    <col min="2062" max="2062" width="20.5703125" style="2" customWidth="1"/>
    <col min="2063" max="2063" width="16.7109375" style="2" customWidth="1"/>
    <col min="2064" max="2064" width="16" style="2"/>
    <col min="2065" max="2065" width="12.140625" style="2" customWidth="1"/>
    <col min="2066" max="2066" width="4.42578125" style="2" customWidth="1"/>
    <col min="2067" max="2067" width="34.85546875" style="2" customWidth="1"/>
    <col min="2068" max="2304" width="16" style="2"/>
    <col min="2305" max="2305" width="21.42578125" style="2" customWidth="1"/>
    <col min="2306" max="2306" width="23.5703125" style="2" customWidth="1"/>
    <col min="2307" max="2307" width="15" style="2" customWidth="1"/>
    <col min="2308" max="2308" width="15.140625" style="2" customWidth="1"/>
    <col min="2309" max="2309" width="16" style="2" customWidth="1"/>
    <col min="2310" max="2310" width="16.140625" style="2" customWidth="1"/>
    <col min="2311" max="2311" width="17.140625" style="2" customWidth="1"/>
    <col min="2312" max="2312" width="15.28515625" style="2" customWidth="1"/>
    <col min="2313" max="2313" width="12.7109375" style="2" customWidth="1"/>
    <col min="2314" max="2314" width="15.140625" style="2" customWidth="1"/>
    <col min="2315" max="2315" width="15.28515625" style="2" customWidth="1"/>
    <col min="2316" max="2316" width="23.85546875" style="2" customWidth="1"/>
    <col min="2317" max="2317" width="25.5703125" style="2" customWidth="1"/>
    <col min="2318" max="2318" width="20.5703125" style="2" customWidth="1"/>
    <col min="2319" max="2319" width="16.7109375" style="2" customWidth="1"/>
    <col min="2320" max="2320" width="16" style="2"/>
    <col min="2321" max="2321" width="12.140625" style="2" customWidth="1"/>
    <col min="2322" max="2322" width="4.42578125" style="2" customWidth="1"/>
    <col min="2323" max="2323" width="34.85546875" style="2" customWidth="1"/>
    <col min="2324" max="2560" width="16" style="2"/>
    <col min="2561" max="2561" width="21.42578125" style="2" customWidth="1"/>
    <col min="2562" max="2562" width="23.5703125" style="2" customWidth="1"/>
    <col min="2563" max="2563" width="15" style="2" customWidth="1"/>
    <col min="2564" max="2564" width="15.140625" style="2" customWidth="1"/>
    <col min="2565" max="2565" width="16" style="2" customWidth="1"/>
    <col min="2566" max="2566" width="16.140625" style="2" customWidth="1"/>
    <col min="2567" max="2567" width="17.140625" style="2" customWidth="1"/>
    <col min="2568" max="2568" width="15.28515625" style="2" customWidth="1"/>
    <col min="2569" max="2569" width="12.7109375" style="2" customWidth="1"/>
    <col min="2570" max="2570" width="15.140625" style="2" customWidth="1"/>
    <col min="2571" max="2571" width="15.28515625" style="2" customWidth="1"/>
    <col min="2572" max="2572" width="23.85546875" style="2" customWidth="1"/>
    <col min="2573" max="2573" width="25.5703125" style="2" customWidth="1"/>
    <col min="2574" max="2574" width="20.5703125" style="2" customWidth="1"/>
    <col min="2575" max="2575" width="16.7109375" style="2" customWidth="1"/>
    <col min="2576" max="2576" width="16" style="2"/>
    <col min="2577" max="2577" width="12.140625" style="2" customWidth="1"/>
    <col min="2578" max="2578" width="4.42578125" style="2" customWidth="1"/>
    <col min="2579" max="2579" width="34.85546875" style="2" customWidth="1"/>
    <col min="2580" max="2816" width="16" style="2"/>
    <col min="2817" max="2817" width="21.42578125" style="2" customWidth="1"/>
    <col min="2818" max="2818" width="23.5703125" style="2" customWidth="1"/>
    <col min="2819" max="2819" width="15" style="2" customWidth="1"/>
    <col min="2820" max="2820" width="15.140625" style="2" customWidth="1"/>
    <col min="2821" max="2821" width="16" style="2" customWidth="1"/>
    <col min="2822" max="2822" width="16.140625" style="2" customWidth="1"/>
    <col min="2823" max="2823" width="17.140625" style="2" customWidth="1"/>
    <col min="2824" max="2824" width="15.28515625" style="2" customWidth="1"/>
    <col min="2825" max="2825" width="12.7109375" style="2" customWidth="1"/>
    <col min="2826" max="2826" width="15.140625" style="2" customWidth="1"/>
    <col min="2827" max="2827" width="15.28515625" style="2" customWidth="1"/>
    <col min="2828" max="2828" width="23.85546875" style="2" customWidth="1"/>
    <col min="2829" max="2829" width="25.5703125" style="2" customWidth="1"/>
    <col min="2830" max="2830" width="20.5703125" style="2" customWidth="1"/>
    <col min="2831" max="2831" width="16.7109375" style="2" customWidth="1"/>
    <col min="2832" max="2832" width="16" style="2"/>
    <col min="2833" max="2833" width="12.140625" style="2" customWidth="1"/>
    <col min="2834" max="2834" width="4.42578125" style="2" customWidth="1"/>
    <col min="2835" max="2835" width="34.85546875" style="2" customWidth="1"/>
    <col min="2836" max="3072" width="16" style="2"/>
    <col min="3073" max="3073" width="21.42578125" style="2" customWidth="1"/>
    <col min="3074" max="3074" width="23.5703125" style="2" customWidth="1"/>
    <col min="3075" max="3075" width="15" style="2" customWidth="1"/>
    <col min="3076" max="3076" width="15.140625" style="2" customWidth="1"/>
    <col min="3077" max="3077" width="16" style="2" customWidth="1"/>
    <col min="3078" max="3078" width="16.140625" style="2" customWidth="1"/>
    <col min="3079" max="3079" width="17.140625" style="2" customWidth="1"/>
    <col min="3080" max="3080" width="15.28515625" style="2" customWidth="1"/>
    <col min="3081" max="3081" width="12.7109375" style="2" customWidth="1"/>
    <col min="3082" max="3082" width="15.140625" style="2" customWidth="1"/>
    <col min="3083" max="3083" width="15.28515625" style="2" customWidth="1"/>
    <col min="3084" max="3084" width="23.85546875" style="2" customWidth="1"/>
    <col min="3085" max="3085" width="25.5703125" style="2" customWidth="1"/>
    <col min="3086" max="3086" width="20.5703125" style="2" customWidth="1"/>
    <col min="3087" max="3087" width="16.7109375" style="2" customWidth="1"/>
    <col min="3088" max="3088" width="16" style="2"/>
    <col min="3089" max="3089" width="12.140625" style="2" customWidth="1"/>
    <col min="3090" max="3090" width="4.42578125" style="2" customWidth="1"/>
    <col min="3091" max="3091" width="34.85546875" style="2" customWidth="1"/>
    <col min="3092" max="3328" width="16" style="2"/>
    <col min="3329" max="3329" width="21.42578125" style="2" customWidth="1"/>
    <col min="3330" max="3330" width="23.5703125" style="2" customWidth="1"/>
    <col min="3331" max="3331" width="15" style="2" customWidth="1"/>
    <col min="3332" max="3332" width="15.140625" style="2" customWidth="1"/>
    <col min="3333" max="3333" width="16" style="2" customWidth="1"/>
    <col min="3334" max="3334" width="16.140625" style="2" customWidth="1"/>
    <col min="3335" max="3335" width="17.140625" style="2" customWidth="1"/>
    <col min="3336" max="3336" width="15.28515625" style="2" customWidth="1"/>
    <col min="3337" max="3337" width="12.7109375" style="2" customWidth="1"/>
    <col min="3338" max="3338" width="15.140625" style="2" customWidth="1"/>
    <col min="3339" max="3339" width="15.28515625" style="2" customWidth="1"/>
    <col min="3340" max="3340" width="23.85546875" style="2" customWidth="1"/>
    <col min="3341" max="3341" width="25.5703125" style="2" customWidth="1"/>
    <col min="3342" max="3342" width="20.5703125" style="2" customWidth="1"/>
    <col min="3343" max="3343" width="16.7109375" style="2" customWidth="1"/>
    <col min="3344" max="3344" width="16" style="2"/>
    <col min="3345" max="3345" width="12.140625" style="2" customWidth="1"/>
    <col min="3346" max="3346" width="4.42578125" style="2" customWidth="1"/>
    <col min="3347" max="3347" width="34.85546875" style="2" customWidth="1"/>
    <col min="3348" max="3584" width="16" style="2"/>
    <col min="3585" max="3585" width="21.42578125" style="2" customWidth="1"/>
    <col min="3586" max="3586" width="23.5703125" style="2" customWidth="1"/>
    <col min="3587" max="3587" width="15" style="2" customWidth="1"/>
    <col min="3588" max="3588" width="15.140625" style="2" customWidth="1"/>
    <col min="3589" max="3589" width="16" style="2" customWidth="1"/>
    <col min="3590" max="3590" width="16.140625" style="2" customWidth="1"/>
    <col min="3591" max="3591" width="17.140625" style="2" customWidth="1"/>
    <col min="3592" max="3592" width="15.28515625" style="2" customWidth="1"/>
    <col min="3593" max="3593" width="12.7109375" style="2" customWidth="1"/>
    <col min="3594" max="3594" width="15.140625" style="2" customWidth="1"/>
    <col min="3595" max="3595" width="15.28515625" style="2" customWidth="1"/>
    <col min="3596" max="3596" width="23.85546875" style="2" customWidth="1"/>
    <col min="3597" max="3597" width="25.5703125" style="2" customWidth="1"/>
    <col min="3598" max="3598" width="20.5703125" style="2" customWidth="1"/>
    <col min="3599" max="3599" width="16.7109375" style="2" customWidth="1"/>
    <col min="3600" max="3600" width="16" style="2"/>
    <col min="3601" max="3601" width="12.140625" style="2" customWidth="1"/>
    <col min="3602" max="3602" width="4.42578125" style="2" customWidth="1"/>
    <col min="3603" max="3603" width="34.85546875" style="2" customWidth="1"/>
    <col min="3604" max="3840" width="16" style="2"/>
    <col min="3841" max="3841" width="21.42578125" style="2" customWidth="1"/>
    <col min="3842" max="3842" width="23.5703125" style="2" customWidth="1"/>
    <col min="3843" max="3843" width="15" style="2" customWidth="1"/>
    <col min="3844" max="3844" width="15.140625" style="2" customWidth="1"/>
    <col min="3845" max="3845" width="16" style="2" customWidth="1"/>
    <col min="3846" max="3846" width="16.140625" style="2" customWidth="1"/>
    <col min="3847" max="3847" width="17.140625" style="2" customWidth="1"/>
    <col min="3848" max="3848" width="15.28515625" style="2" customWidth="1"/>
    <col min="3849" max="3849" width="12.7109375" style="2" customWidth="1"/>
    <col min="3850" max="3850" width="15.140625" style="2" customWidth="1"/>
    <col min="3851" max="3851" width="15.28515625" style="2" customWidth="1"/>
    <col min="3852" max="3852" width="23.85546875" style="2" customWidth="1"/>
    <col min="3853" max="3853" width="25.5703125" style="2" customWidth="1"/>
    <col min="3854" max="3854" width="20.5703125" style="2" customWidth="1"/>
    <col min="3855" max="3855" width="16.7109375" style="2" customWidth="1"/>
    <col min="3856" max="3856" width="16" style="2"/>
    <col min="3857" max="3857" width="12.140625" style="2" customWidth="1"/>
    <col min="3858" max="3858" width="4.42578125" style="2" customWidth="1"/>
    <col min="3859" max="3859" width="34.85546875" style="2" customWidth="1"/>
    <col min="3860" max="4096" width="16" style="2"/>
    <col min="4097" max="4097" width="21.42578125" style="2" customWidth="1"/>
    <col min="4098" max="4098" width="23.5703125" style="2" customWidth="1"/>
    <col min="4099" max="4099" width="15" style="2" customWidth="1"/>
    <col min="4100" max="4100" width="15.140625" style="2" customWidth="1"/>
    <col min="4101" max="4101" width="16" style="2" customWidth="1"/>
    <col min="4102" max="4102" width="16.140625" style="2" customWidth="1"/>
    <col min="4103" max="4103" width="17.140625" style="2" customWidth="1"/>
    <col min="4104" max="4104" width="15.28515625" style="2" customWidth="1"/>
    <col min="4105" max="4105" width="12.7109375" style="2" customWidth="1"/>
    <col min="4106" max="4106" width="15.140625" style="2" customWidth="1"/>
    <col min="4107" max="4107" width="15.28515625" style="2" customWidth="1"/>
    <col min="4108" max="4108" width="23.85546875" style="2" customWidth="1"/>
    <col min="4109" max="4109" width="25.5703125" style="2" customWidth="1"/>
    <col min="4110" max="4110" width="20.5703125" style="2" customWidth="1"/>
    <col min="4111" max="4111" width="16.7109375" style="2" customWidth="1"/>
    <col min="4112" max="4112" width="16" style="2"/>
    <col min="4113" max="4113" width="12.140625" style="2" customWidth="1"/>
    <col min="4114" max="4114" width="4.42578125" style="2" customWidth="1"/>
    <col min="4115" max="4115" width="34.85546875" style="2" customWidth="1"/>
    <col min="4116" max="4352" width="16" style="2"/>
    <col min="4353" max="4353" width="21.42578125" style="2" customWidth="1"/>
    <col min="4354" max="4354" width="23.5703125" style="2" customWidth="1"/>
    <col min="4355" max="4355" width="15" style="2" customWidth="1"/>
    <col min="4356" max="4356" width="15.140625" style="2" customWidth="1"/>
    <col min="4357" max="4357" width="16" style="2" customWidth="1"/>
    <col min="4358" max="4358" width="16.140625" style="2" customWidth="1"/>
    <col min="4359" max="4359" width="17.140625" style="2" customWidth="1"/>
    <col min="4360" max="4360" width="15.28515625" style="2" customWidth="1"/>
    <col min="4361" max="4361" width="12.7109375" style="2" customWidth="1"/>
    <col min="4362" max="4362" width="15.140625" style="2" customWidth="1"/>
    <col min="4363" max="4363" width="15.28515625" style="2" customWidth="1"/>
    <col min="4364" max="4364" width="23.85546875" style="2" customWidth="1"/>
    <col min="4365" max="4365" width="25.5703125" style="2" customWidth="1"/>
    <col min="4366" max="4366" width="20.5703125" style="2" customWidth="1"/>
    <col min="4367" max="4367" width="16.7109375" style="2" customWidth="1"/>
    <col min="4368" max="4368" width="16" style="2"/>
    <col min="4369" max="4369" width="12.140625" style="2" customWidth="1"/>
    <col min="4370" max="4370" width="4.42578125" style="2" customWidth="1"/>
    <col min="4371" max="4371" width="34.85546875" style="2" customWidth="1"/>
    <col min="4372" max="4608" width="16" style="2"/>
    <col min="4609" max="4609" width="21.42578125" style="2" customWidth="1"/>
    <col min="4610" max="4610" width="23.5703125" style="2" customWidth="1"/>
    <col min="4611" max="4611" width="15" style="2" customWidth="1"/>
    <col min="4612" max="4612" width="15.140625" style="2" customWidth="1"/>
    <col min="4613" max="4613" width="16" style="2" customWidth="1"/>
    <col min="4614" max="4614" width="16.140625" style="2" customWidth="1"/>
    <col min="4615" max="4615" width="17.140625" style="2" customWidth="1"/>
    <col min="4616" max="4616" width="15.28515625" style="2" customWidth="1"/>
    <col min="4617" max="4617" width="12.7109375" style="2" customWidth="1"/>
    <col min="4618" max="4618" width="15.140625" style="2" customWidth="1"/>
    <col min="4619" max="4619" width="15.28515625" style="2" customWidth="1"/>
    <col min="4620" max="4620" width="23.85546875" style="2" customWidth="1"/>
    <col min="4621" max="4621" width="25.5703125" style="2" customWidth="1"/>
    <col min="4622" max="4622" width="20.5703125" style="2" customWidth="1"/>
    <col min="4623" max="4623" width="16.7109375" style="2" customWidth="1"/>
    <col min="4624" max="4624" width="16" style="2"/>
    <col min="4625" max="4625" width="12.140625" style="2" customWidth="1"/>
    <col min="4626" max="4626" width="4.42578125" style="2" customWidth="1"/>
    <col min="4627" max="4627" width="34.85546875" style="2" customWidth="1"/>
    <col min="4628" max="4864" width="16" style="2"/>
    <col min="4865" max="4865" width="21.42578125" style="2" customWidth="1"/>
    <col min="4866" max="4866" width="23.5703125" style="2" customWidth="1"/>
    <col min="4867" max="4867" width="15" style="2" customWidth="1"/>
    <col min="4868" max="4868" width="15.140625" style="2" customWidth="1"/>
    <col min="4869" max="4869" width="16" style="2" customWidth="1"/>
    <col min="4870" max="4870" width="16.140625" style="2" customWidth="1"/>
    <col min="4871" max="4871" width="17.140625" style="2" customWidth="1"/>
    <col min="4872" max="4872" width="15.28515625" style="2" customWidth="1"/>
    <col min="4873" max="4873" width="12.7109375" style="2" customWidth="1"/>
    <col min="4874" max="4874" width="15.140625" style="2" customWidth="1"/>
    <col min="4875" max="4875" width="15.28515625" style="2" customWidth="1"/>
    <col min="4876" max="4876" width="23.85546875" style="2" customWidth="1"/>
    <col min="4877" max="4877" width="25.5703125" style="2" customWidth="1"/>
    <col min="4878" max="4878" width="20.5703125" style="2" customWidth="1"/>
    <col min="4879" max="4879" width="16.7109375" style="2" customWidth="1"/>
    <col min="4880" max="4880" width="16" style="2"/>
    <col min="4881" max="4881" width="12.140625" style="2" customWidth="1"/>
    <col min="4882" max="4882" width="4.42578125" style="2" customWidth="1"/>
    <col min="4883" max="4883" width="34.85546875" style="2" customWidth="1"/>
    <col min="4884" max="5120" width="16" style="2"/>
    <col min="5121" max="5121" width="21.42578125" style="2" customWidth="1"/>
    <col min="5122" max="5122" width="23.5703125" style="2" customWidth="1"/>
    <col min="5123" max="5123" width="15" style="2" customWidth="1"/>
    <col min="5124" max="5124" width="15.140625" style="2" customWidth="1"/>
    <col min="5125" max="5125" width="16" style="2" customWidth="1"/>
    <col min="5126" max="5126" width="16.140625" style="2" customWidth="1"/>
    <col min="5127" max="5127" width="17.140625" style="2" customWidth="1"/>
    <col min="5128" max="5128" width="15.28515625" style="2" customWidth="1"/>
    <col min="5129" max="5129" width="12.7109375" style="2" customWidth="1"/>
    <col min="5130" max="5130" width="15.140625" style="2" customWidth="1"/>
    <col min="5131" max="5131" width="15.28515625" style="2" customWidth="1"/>
    <col min="5132" max="5132" width="23.85546875" style="2" customWidth="1"/>
    <col min="5133" max="5133" width="25.5703125" style="2" customWidth="1"/>
    <col min="5134" max="5134" width="20.5703125" style="2" customWidth="1"/>
    <col min="5135" max="5135" width="16.7109375" style="2" customWidth="1"/>
    <col min="5136" max="5136" width="16" style="2"/>
    <col min="5137" max="5137" width="12.140625" style="2" customWidth="1"/>
    <col min="5138" max="5138" width="4.42578125" style="2" customWidth="1"/>
    <col min="5139" max="5139" width="34.85546875" style="2" customWidth="1"/>
    <col min="5140" max="5376" width="16" style="2"/>
    <col min="5377" max="5377" width="21.42578125" style="2" customWidth="1"/>
    <col min="5378" max="5378" width="23.5703125" style="2" customWidth="1"/>
    <col min="5379" max="5379" width="15" style="2" customWidth="1"/>
    <col min="5380" max="5380" width="15.140625" style="2" customWidth="1"/>
    <col min="5381" max="5381" width="16" style="2" customWidth="1"/>
    <col min="5382" max="5382" width="16.140625" style="2" customWidth="1"/>
    <col min="5383" max="5383" width="17.140625" style="2" customWidth="1"/>
    <col min="5384" max="5384" width="15.28515625" style="2" customWidth="1"/>
    <col min="5385" max="5385" width="12.7109375" style="2" customWidth="1"/>
    <col min="5386" max="5386" width="15.140625" style="2" customWidth="1"/>
    <col min="5387" max="5387" width="15.28515625" style="2" customWidth="1"/>
    <col min="5388" max="5388" width="23.85546875" style="2" customWidth="1"/>
    <col min="5389" max="5389" width="25.5703125" style="2" customWidth="1"/>
    <col min="5390" max="5390" width="20.5703125" style="2" customWidth="1"/>
    <col min="5391" max="5391" width="16.7109375" style="2" customWidth="1"/>
    <col min="5392" max="5392" width="16" style="2"/>
    <col min="5393" max="5393" width="12.140625" style="2" customWidth="1"/>
    <col min="5394" max="5394" width="4.42578125" style="2" customWidth="1"/>
    <col min="5395" max="5395" width="34.85546875" style="2" customWidth="1"/>
    <col min="5396" max="5632" width="16" style="2"/>
    <col min="5633" max="5633" width="21.42578125" style="2" customWidth="1"/>
    <col min="5634" max="5634" width="23.5703125" style="2" customWidth="1"/>
    <col min="5635" max="5635" width="15" style="2" customWidth="1"/>
    <col min="5636" max="5636" width="15.140625" style="2" customWidth="1"/>
    <col min="5637" max="5637" width="16" style="2" customWidth="1"/>
    <col min="5638" max="5638" width="16.140625" style="2" customWidth="1"/>
    <col min="5639" max="5639" width="17.140625" style="2" customWidth="1"/>
    <col min="5640" max="5640" width="15.28515625" style="2" customWidth="1"/>
    <col min="5641" max="5641" width="12.7109375" style="2" customWidth="1"/>
    <col min="5642" max="5642" width="15.140625" style="2" customWidth="1"/>
    <col min="5643" max="5643" width="15.28515625" style="2" customWidth="1"/>
    <col min="5644" max="5644" width="23.85546875" style="2" customWidth="1"/>
    <col min="5645" max="5645" width="25.5703125" style="2" customWidth="1"/>
    <col min="5646" max="5646" width="20.5703125" style="2" customWidth="1"/>
    <col min="5647" max="5647" width="16.7109375" style="2" customWidth="1"/>
    <col min="5648" max="5648" width="16" style="2"/>
    <col min="5649" max="5649" width="12.140625" style="2" customWidth="1"/>
    <col min="5650" max="5650" width="4.42578125" style="2" customWidth="1"/>
    <col min="5651" max="5651" width="34.85546875" style="2" customWidth="1"/>
    <col min="5652" max="5888" width="16" style="2"/>
    <col min="5889" max="5889" width="21.42578125" style="2" customWidth="1"/>
    <col min="5890" max="5890" width="23.5703125" style="2" customWidth="1"/>
    <col min="5891" max="5891" width="15" style="2" customWidth="1"/>
    <col min="5892" max="5892" width="15.140625" style="2" customWidth="1"/>
    <col min="5893" max="5893" width="16" style="2" customWidth="1"/>
    <col min="5894" max="5894" width="16.140625" style="2" customWidth="1"/>
    <col min="5895" max="5895" width="17.140625" style="2" customWidth="1"/>
    <col min="5896" max="5896" width="15.28515625" style="2" customWidth="1"/>
    <col min="5897" max="5897" width="12.7109375" style="2" customWidth="1"/>
    <col min="5898" max="5898" width="15.140625" style="2" customWidth="1"/>
    <col min="5899" max="5899" width="15.28515625" style="2" customWidth="1"/>
    <col min="5900" max="5900" width="23.85546875" style="2" customWidth="1"/>
    <col min="5901" max="5901" width="25.5703125" style="2" customWidth="1"/>
    <col min="5902" max="5902" width="20.5703125" style="2" customWidth="1"/>
    <col min="5903" max="5903" width="16.7109375" style="2" customWidth="1"/>
    <col min="5904" max="5904" width="16" style="2"/>
    <col min="5905" max="5905" width="12.140625" style="2" customWidth="1"/>
    <col min="5906" max="5906" width="4.42578125" style="2" customWidth="1"/>
    <col min="5907" max="5907" width="34.85546875" style="2" customWidth="1"/>
    <col min="5908" max="6144" width="16" style="2"/>
    <col min="6145" max="6145" width="21.42578125" style="2" customWidth="1"/>
    <col min="6146" max="6146" width="23.5703125" style="2" customWidth="1"/>
    <col min="6147" max="6147" width="15" style="2" customWidth="1"/>
    <col min="6148" max="6148" width="15.140625" style="2" customWidth="1"/>
    <col min="6149" max="6149" width="16" style="2" customWidth="1"/>
    <col min="6150" max="6150" width="16.140625" style="2" customWidth="1"/>
    <col min="6151" max="6151" width="17.140625" style="2" customWidth="1"/>
    <col min="6152" max="6152" width="15.28515625" style="2" customWidth="1"/>
    <col min="6153" max="6153" width="12.7109375" style="2" customWidth="1"/>
    <col min="6154" max="6154" width="15.140625" style="2" customWidth="1"/>
    <col min="6155" max="6155" width="15.28515625" style="2" customWidth="1"/>
    <col min="6156" max="6156" width="23.85546875" style="2" customWidth="1"/>
    <col min="6157" max="6157" width="25.5703125" style="2" customWidth="1"/>
    <col min="6158" max="6158" width="20.5703125" style="2" customWidth="1"/>
    <col min="6159" max="6159" width="16.7109375" style="2" customWidth="1"/>
    <col min="6160" max="6160" width="16" style="2"/>
    <col min="6161" max="6161" width="12.140625" style="2" customWidth="1"/>
    <col min="6162" max="6162" width="4.42578125" style="2" customWidth="1"/>
    <col min="6163" max="6163" width="34.85546875" style="2" customWidth="1"/>
    <col min="6164" max="6400" width="16" style="2"/>
    <col min="6401" max="6401" width="21.42578125" style="2" customWidth="1"/>
    <col min="6402" max="6402" width="23.5703125" style="2" customWidth="1"/>
    <col min="6403" max="6403" width="15" style="2" customWidth="1"/>
    <col min="6404" max="6404" width="15.140625" style="2" customWidth="1"/>
    <col min="6405" max="6405" width="16" style="2" customWidth="1"/>
    <col min="6406" max="6406" width="16.140625" style="2" customWidth="1"/>
    <col min="6407" max="6407" width="17.140625" style="2" customWidth="1"/>
    <col min="6408" max="6408" width="15.28515625" style="2" customWidth="1"/>
    <col min="6409" max="6409" width="12.7109375" style="2" customWidth="1"/>
    <col min="6410" max="6410" width="15.140625" style="2" customWidth="1"/>
    <col min="6411" max="6411" width="15.28515625" style="2" customWidth="1"/>
    <col min="6412" max="6412" width="23.85546875" style="2" customWidth="1"/>
    <col min="6413" max="6413" width="25.5703125" style="2" customWidth="1"/>
    <col min="6414" max="6414" width="20.5703125" style="2" customWidth="1"/>
    <col min="6415" max="6415" width="16.7109375" style="2" customWidth="1"/>
    <col min="6416" max="6416" width="16" style="2"/>
    <col min="6417" max="6417" width="12.140625" style="2" customWidth="1"/>
    <col min="6418" max="6418" width="4.42578125" style="2" customWidth="1"/>
    <col min="6419" max="6419" width="34.85546875" style="2" customWidth="1"/>
    <col min="6420" max="6656" width="16" style="2"/>
    <col min="6657" max="6657" width="21.42578125" style="2" customWidth="1"/>
    <col min="6658" max="6658" width="23.5703125" style="2" customWidth="1"/>
    <col min="6659" max="6659" width="15" style="2" customWidth="1"/>
    <col min="6660" max="6660" width="15.140625" style="2" customWidth="1"/>
    <col min="6661" max="6661" width="16" style="2" customWidth="1"/>
    <col min="6662" max="6662" width="16.140625" style="2" customWidth="1"/>
    <col min="6663" max="6663" width="17.140625" style="2" customWidth="1"/>
    <col min="6664" max="6664" width="15.28515625" style="2" customWidth="1"/>
    <col min="6665" max="6665" width="12.7109375" style="2" customWidth="1"/>
    <col min="6666" max="6666" width="15.140625" style="2" customWidth="1"/>
    <col min="6667" max="6667" width="15.28515625" style="2" customWidth="1"/>
    <col min="6668" max="6668" width="23.85546875" style="2" customWidth="1"/>
    <col min="6669" max="6669" width="25.5703125" style="2" customWidth="1"/>
    <col min="6670" max="6670" width="20.5703125" style="2" customWidth="1"/>
    <col min="6671" max="6671" width="16.7109375" style="2" customWidth="1"/>
    <col min="6672" max="6672" width="16" style="2"/>
    <col min="6673" max="6673" width="12.140625" style="2" customWidth="1"/>
    <col min="6674" max="6674" width="4.42578125" style="2" customWidth="1"/>
    <col min="6675" max="6675" width="34.85546875" style="2" customWidth="1"/>
    <col min="6676" max="6912" width="16" style="2"/>
    <col min="6913" max="6913" width="21.42578125" style="2" customWidth="1"/>
    <col min="6914" max="6914" width="23.5703125" style="2" customWidth="1"/>
    <col min="6915" max="6915" width="15" style="2" customWidth="1"/>
    <col min="6916" max="6916" width="15.140625" style="2" customWidth="1"/>
    <col min="6917" max="6917" width="16" style="2" customWidth="1"/>
    <col min="6918" max="6918" width="16.140625" style="2" customWidth="1"/>
    <col min="6919" max="6919" width="17.140625" style="2" customWidth="1"/>
    <col min="6920" max="6920" width="15.28515625" style="2" customWidth="1"/>
    <col min="6921" max="6921" width="12.7109375" style="2" customWidth="1"/>
    <col min="6922" max="6922" width="15.140625" style="2" customWidth="1"/>
    <col min="6923" max="6923" width="15.28515625" style="2" customWidth="1"/>
    <col min="6924" max="6924" width="23.85546875" style="2" customWidth="1"/>
    <col min="6925" max="6925" width="25.5703125" style="2" customWidth="1"/>
    <col min="6926" max="6926" width="20.5703125" style="2" customWidth="1"/>
    <col min="6927" max="6927" width="16.7109375" style="2" customWidth="1"/>
    <col min="6928" max="6928" width="16" style="2"/>
    <col min="6929" max="6929" width="12.140625" style="2" customWidth="1"/>
    <col min="6930" max="6930" width="4.42578125" style="2" customWidth="1"/>
    <col min="6931" max="6931" width="34.85546875" style="2" customWidth="1"/>
    <col min="6932" max="7168" width="16" style="2"/>
    <col min="7169" max="7169" width="21.42578125" style="2" customWidth="1"/>
    <col min="7170" max="7170" width="23.5703125" style="2" customWidth="1"/>
    <col min="7171" max="7171" width="15" style="2" customWidth="1"/>
    <col min="7172" max="7172" width="15.140625" style="2" customWidth="1"/>
    <col min="7173" max="7173" width="16" style="2" customWidth="1"/>
    <col min="7174" max="7174" width="16.140625" style="2" customWidth="1"/>
    <col min="7175" max="7175" width="17.140625" style="2" customWidth="1"/>
    <col min="7176" max="7176" width="15.28515625" style="2" customWidth="1"/>
    <col min="7177" max="7177" width="12.7109375" style="2" customWidth="1"/>
    <col min="7178" max="7178" width="15.140625" style="2" customWidth="1"/>
    <col min="7179" max="7179" width="15.28515625" style="2" customWidth="1"/>
    <col min="7180" max="7180" width="23.85546875" style="2" customWidth="1"/>
    <col min="7181" max="7181" width="25.5703125" style="2" customWidth="1"/>
    <col min="7182" max="7182" width="20.5703125" style="2" customWidth="1"/>
    <col min="7183" max="7183" width="16.7109375" style="2" customWidth="1"/>
    <col min="7184" max="7184" width="16" style="2"/>
    <col min="7185" max="7185" width="12.140625" style="2" customWidth="1"/>
    <col min="7186" max="7186" width="4.42578125" style="2" customWidth="1"/>
    <col min="7187" max="7187" width="34.85546875" style="2" customWidth="1"/>
    <col min="7188" max="7424" width="16" style="2"/>
    <col min="7425" max="7425" width="21.42578125" style="2" customWidth="1"/>
    <col min="7426" max="7426" width="23.5703125" style="2" customWidth="1"/>
    <col min="7427" max="7427" width="15" style="2" customWidth="1"/>
    <col min="7428" max="7428" width="15.140625" style="2" customWidth="1"/>
    <col min="7429" max="7429" width="16" style="2" customWidth="1"/>
    <col min="7430" max="7430" width="16.140625" style="2" customWidth="1"/>
    <col min="7431" max="7431" width="17.140625" style="2" customWidth="1"/>
    <col min="7432" max="7432" width="15.28515625" style="2" customWidth="1"/>
    <col min="7433" max="7433" width="12.7109375" style="2" customWidth="1"/>
    <col min="7434" max="7434" width="15.140625" style="2" customWidth="1"/>
    <col min="7435" max="7435" width="15.28515625" style="2" customWidth="1"/>
    <col min="7436" max="7436" width="23.85546875" style="2" customWidth="1"/>
    <col min="7437" max="7437" width="25.5703125" style="2" customWidth="1"/>
    <col min="7438" max="7438" width="20.5703125" style="2" customWidth="1"/>
    <col min="7439" max="7439" width="16.7109375" style="2" customWidth="1"/>
    <col min="7440" max="7440" width="16" style="2"/>
    <col min="7441" max="7441" width="12.140625" style="2" customWidth="1"/>
    <col min="7442" max="7442" width="4.42578125" style="2" customWidth="1"/>
    <col min="7443" max="7443" width="34.85546875" style="2" customWidth="1"/>
    <col min="7444" max="7680" width="16" style="2"/>
    <col min="7681" max="7681" width="21.42578125" style="2" customWidth="1"/>
    <col min="7682" max="7682" width="23.5703125" style="2" customWidth="1"/>
    <col min="7683" max="7683" width="15" style="2" customWidth="1"/>
    <col min="7684" max="7684" width="15.140625" style="2" customWidth="1"/>
    <col min="7685" max="7685" width="16" style="2" customWidth="1"/>
    <col min="7686" max="7686" width="16.140625" style="2" customWidth="1"/>
    <col min="7687" max="7687" width="17.140625" style="2" customWidth="1"/>
    <col min="7688" max="7688" width="15.28515625" style="2" customWidth="1"/>
    <col min="7689" max="7689" width="12.7109375" style="2" customWidth="1"/>
    <col min="7690" max="7690" width="15.140625" style="2" customWidth="1"/>
    <col min="7691" max="7691" width="15.28515625" style="2" customWidth="1"/>
    <col min="7692" max="7692" width="23.85546875" style="2" customWidth="1"/>
    <col min="7693" max="7693" width="25.5703125" style="2" customWidth="1"/>
    <col min="7694" max="7694" width="20.5703125" style="2" customWidth="1"/>
    <col min="7695" max="7695" width="16.7109375" style="2" customWidth="1"/>
    <col min="7696" max="7696" width="16" style="2"/>
    <col min="7697" max="7697" width="12.140625" style="2" customWidth="1"/>
    <col min="7698" max="7698" width="4.42578125" style="2" customWidth="1"/>
    <col min="7699" max="7699" width="34.85546875" style="2" customWidth="1"/>
    <col min="7700" max="7936" width="16" style="2"/>
    <col min="7937" max="7937" width="21.42578125" style="2" customWidth="1"/>
    <col min="7938" max="7938" width="23.5703125" style="2" customWidth="1"/>
    <col min="7939" max="7939" width="15" style="2" customWidth="1"/>
    <col min="7940" max="7940" width="15.140625" style="2" customWidth="1"/>
    <col min="7941" max="7941" width="16" style="2" customWidth="1"/>
    <col min="7942" max="7942" width="16.140625" style="2" customWidth="1"/>
    <col min="7943" max="7943" width="17.140625" style="2" customWidth="1"/>
    <col min="7944" max="7944" width="15.28515625" style="2" customWidth="1"/>
    <col min="7945" max="7945" width="12.7109375" style="2" customWidth="1"/>
    <col min="7946" max="7946" width="15.140625" style="2" customWidth="1"/>
    <col min="7947" max="7947" width="15.28515625" style="2" customWidth="1"/>
    <col min="7948" max="7948" width="23.85546875" style="2" customWidth="1"/>
    <col min="7949" max="7949" width="25.5703125" style="2" customWidth="1"/>
    <col min="7950" max="7950" width="20.5703125" style="2" customWidth="1"/>
    <col min="7951" max="7951" width="16.7109375" style="2" customWidth="1"/>
    <col min="7952" max="7952" width="16" style="2"/>
    <col min="7953" max="7953" width="12.140625" style="2" customWidth="1"/>
    <col min="7954" max="7954" width="4.42578125" style="2" customWidth="1"/>
    <col min="7955" max="7955" width="34.85546875" style="2" customWidth="1"/>
    <col min="7956" max="8192" width="16" style="2"/>
    <col min="8193" max="8193" width="21.42578125" style="2" customWidth="1"/>
    <col min="8194" max="8194" width="23.5703125" style="2" customWidth="1"/>
    <col min="8195" max="8195" width="15" style="2" customWidth="1"/>
    <col min="8196" max="8196" width="15.140625" style="2" customWidth="1"/>
    <col min="8197" max="8197" width="16" style="2" customWidth="1"/>
    <col min="8198" max="8198" width="16.140625" style="2" customWidth="1"/>
    <col min="8199" max="8199" width="17.140625" style="2" customWidth="1"/>
    <col min="8200" max="8200" width="15.28515625" style="2" customWidth="1"/>
    <col min="8201" max="8201" width="12.7109375" style="2" customWidth="1"/>
    <col min="8202" max="8202" width="15.140625" style="2" customWidth="1"/>
    <col min="8203" max="8203" width="15.28515625" style="2" customWidth="1"/>
    <col min="8204" max="8204" width="23.85546875" style="2" customWidth="1"/>
    <col min="8205" max="8205" width="25.5703125" style="2" customWidth="1"/>
    <col min="8206" max="8206" width="20.5703125" style="2" customWidth="1"/>
    <col min="8207" max="8207" width="16.7109375" style="2" customWidth="1"/>
    <col min="8208" max="8208" width="16" style="2"/>
    <col min="8209" max="8209" width="12.140625" style="2" customWidth="1"/>
    <col min="8210" max="8210" width="4.42578125" style="2" customWidth="1"/>
    <col min="8211" max="8211" width="34.85546875" style="2" customWidth="1"/>
    <col min="8212" max="8448" width="16" style="2"/>
    <col min="8449" max="8449" width="21.42578125" style="2" customWidth="1"/>
    <col min="8450" max="8450" width="23.5703125" style="2" customWidth="1"/>
    <col min="8451" max="8451" width="15" style="2" customWidth="1"/>
    <col min="8452" max="8452" width="15.140625" style="2" customWidth="1"/>
    <col min="8453" max="8453" width="16" style="2" customWidth="1"/>
    <col min="8454" max="8454" width="16.140625" style="2" customWidth="1"/>
    <col min="8455" max="8455" width="17.140625" style="2" customWidth="1"/>
    <col min="8456" max="8456" width="15.28515625" style="2" customWidth="1"/>
    <col min="8457" max="8457" width="12.7109375" style="2" customWidth="1"/>
    <col min="8458" max="8458" width="15.140625" style="2" customWidth="1"/>
    <col min="8459" max="8459" width="15.28515625" style="2" customWidth="1"/>
    <col min="8460" max="8460" width="23.85546875" style="2" customWidth="1"/>
    <col min="8461" max="8461" width="25.5703125" style="2" customWidth="1"/>
    <col min="8462" max="8462" width="20.5703125" style="2" customWidth="1"/>
    <col min="8463" max="8463" width="16.7109375" style="2" customWidth="1"/>
    <col min="8464" max="8464" width="16" style="2"/>
    <col min="8465" max="8465" width="12.140625" style="2" customWidth="1"/>
    <col min="8466" max="8466" width="4.42578125" style="2" customWidth="1"/>
    <col min="8467" max="8467" width="34.85546875" style="2" customWidth="1"/>
    <col min="8468" max="8704" width="16" style="2"/>
    <col min="8705" max="8705" width="21.42578125" style="2" customWidth="1"/>
    <col min="8706" max="8706" width="23.5703125" style="2" customWidth="1"/>
    <col min="8707" max="8707" width="15" style="2" customWidth="1"/>
    <col min="8708" max="8708" width="15.140625" style="2" customWidth="1"/>
    <col min="8709" max="8709" width="16" style="2" customWidth="1"/>
    <col min="8710" max="8710" width="16.140625" style="2" customWidth="1"/>
    <col min="8711" max="8711" width="17.140625" style="2" customWidth="1"/>
    <col min="8712" max="8712" width="15.28515625" style="2" customWidth="1"/>
    <col min="8713" max="8713" width="12.7109375" style="2" customWidth="1"/>
    <col min="8714" max="8714" width="15.140625" style="2" customWidth="1"/>
    <col min="8715" max="8715" width="15.28515625" style="2" customWidth="1"/>
    <col min="8716" max="8716" width="23.85546875" style="2" customWidth="1"/>
    <col min="8717" max="8717" width="25.5703125" style="2" customWidth="1"/>
    <col min="8718" max="8718" width="20.5703125" style="2" customWidth="1"/>
    <col min="8719" max="8719" width="16.7109375" style="2" customWidth="1"/>
    <col min="8720" max="8720" width="16" style="2"/>
    <col min="8721" max="8721" width="12.140625" style="2" customWidth="1"/>
    <col min="8722" max="8722" width="4.42578125" style="2" customWidth="1"/>
    <col min="8723" max="8723" width="34.85546875" style="2" customWidth="1"/>
    <col min="8724" max="8960" width="16" style="2"/>
    <col min="8961" max="8961" width="21.42578125" style="2" customWidth="1"/>
    <col min="8962" max="8962" width="23.5703125" style="2" customWidth="1"/>
    <col min="8963" max="8963" width="15" style="2" customWidth="1"/>
    <col min="8964" max="8964" width="15.140625" style="2" customWidth="1"/>
    <col min="8965" max="8965" width="16" style="2" customWidth="1"/>
    <col min="8966" max="8966" width="16.140625" style="2" customWidth="1"/>
    <col min="8967" max="8967" width="17.140625" style="2" customWidth="1"/>
    <col min="8968" max="8968" width="15.28515625" style="2" customWidth="1"/>
    <col min="8969" max="8969" width="12.7109375" style="2" customWidth="1"/>
    <col min="8970" max="8970" width="15.140625" style="2" customWidth="1"/>
    <col min="8971" max="8971" width="15.28515625" style="2" customWidth="1"/>
    <col min="8972" max="8972" width="23.85546875" style="2" customWidth="1"/>
    <col min="8973" max="8973" width="25.5703125" style="2" customWidth="1"/>
    <col min="8974" max="8974" width="20.5703125" style="2" customWidth="1"/>
    <col min="8975" max="8975" width="16.7109375" style="2" customWidth="1"/>
    <col min="8976" max="8976" width="16" style="2"/>
    <col min="8977" max="8977" width="12.140625" style="2" customWidth="1"/>
    <col min="8978" max="8978" width="4.42578125" style="2" customWidth="1"/>
    <col min="8979" max="8979" width="34.85546875" style="2" customWidth="1"/>
    <col min="8980" max="9216" width="16" style="2"/>
    <col min="9217" max="9217" width="21.42578125" style="2" customWidth="1"/>
    <col min="9218" max="9218" width="23.5703125" style="2" customWidth="1"/>
    <col min="9219" max="9219" width="15" style="2" customWidth="1"/>
    <col min="9220" max="9220" width="15.140625" style="2" customWidth="1"/>
    <col min="9221" max="9221" width="16" style="2" customWidth="1"/>
    <col min="9222" max="9222" width="16.140625" style="2" customWidth="1"/>
    <col min="9223" max="9223" width="17.140625" style="2" customWidth="1"/>
    <col min="9224" max="9224" width="15.28515625" style="2" customWidth="1"/>
    <col min="9225" max="9225" width="12.7109375" style="2" customWidth="1"/>
    <col min="9226" max="9226" width="15.140625" style="2" customWidth="1"/>
    <col min="9227" max="9227" width="15.28515625" style="2" customWidth="1"/>
    <col min="9228" max="9228" width="23.85546875" style="2" customWidth="1"/>
    <col min="9229" max="9229" width="25.5703125" style="2" customWidth="1"/>
    <col min="9230" max="9230" width="20.5703125" style="2" customWidth="1"/>
    <col min="9231" max="9231" width="16.7109375" style="2" customWidth="1"/>
    <col min="9232" max="9232" width="16" style="2"/>
    <col min="9233" max="9233" width="12.140625" style="2" customWidth="1"/>
    <col min="9234" max="9234" width="4.42578125" style="2" customWidth="1"/>
    <col min="9235" max="9235" width="34.85546875" style="2" customWidth="1"/>
    <col min="9236" max="9472" width="16" style="2"/>
    <col min="9473" max="9473" width="21.42578125" style="2" customWidth="1"/>
    <col min="9474" max="9474" width="23.5703125" style="2" customWidth="1"/>
    <col min="9475" max="9475" width="15" style="2" customWidth="1"/>
    <col min="9476" max="9476" width="15.140625" style="2" customWidth="1"/>
    <col min="9477" max="9477" width="16" style="2" customWidth="1"/>
    <col min="9478" max="9478" width="16.140625" style="2" customWidth="1"/>
    <col min="9479" max="9479" width="17.140625" style="2" customWidth="1"/>
    <col min="9480" max="9480" width="15.28515625" style="2" customWidth="1"/>
    <col min="9481" max="9481" width="12.7109375" style="2" customWidth="1"/>
    <col min="9482" max="9482" width="15.140625" style="2" customWidth="1"/>
    <col min="9483" max="9483" width="15.28515625" style="2" customWidth="1"/>
    <col min="9484" max="9484" width="23.85546875" style="2" customWidth="1"/>
    <col min="9485" max="9485" width="25.5703125" style="2" customWidth="1"/>
    <col min="9486" max="9486" width="20.5703125" style="2" customWidth="1"/>
    <col min="9487" max="9487" width="16.7109375" style="2" customWidth="1"/>
    <col min="9488" max="9488" width="16" style="2"/>
    <col min="9489" max="9489" width="12.140625" style="2" customWidth="1"/>
    <col min="9490" max="9490" width="4.42578125" style="2" customWidth="1"/>
    <col min="9491" max="9491" width="34.85546875" style="2" customWidth="1"/>
    <col min="9492" max="9728" width="16" style="2"/>
    <col min="9729" max="9729" width="21.42578125" style="2" customWidth="1"/>
    <col min="9730" max="9730" width="23.5703125" style="2" customWidth="1"/>
    <col min="9731" max="9731" width="15" style="2" customWidth="1"/>
    <col min="9732" max="9732" width="15.140625" style="2" customWidth="1"/>
    <col min="9733" max="9733" width="16" style="2" customWidth="1"/>
    <col min="9734" max="9734" width="16.140625" style="2" customWidth="1"/>
    <col min="9735" max="9735" width="17.140625" style="2" customWidth="1"/>
    <col min="9736" max="9736" width="15.28515625" style="2" customWidth="1"/>
    <col min="9737" max="9737" width="12.7109375" style="2" customWidth="1"/>
    <col min="9738" max="9738" width="15.140625" style="2" customWidth="1"/>
    <col min="9739" max="9739" width="15.28515625" style="2" customWidth="1"/>
    <col min="9740" max="9740" width="23.85546875" style="2" customWidth="1"/>
    <col min="9741" max="9741" width="25.5703125" style="2" customWidth="1"/>
    <col min="9742" max="9742" width="20.5703125" style="2" customWidth="1"/>
    <col min="9743" max="9743" width="16.7109375" style="2" customWidth="1"/>
    <col min="9744" max="9744" width="16" style="2"/>
    <col min="9745" max="9745" width="12.140625" style="2" customWidth="1"/>
    <col min="9746" max="9746" width="4.42578125" style="2" customWidth="1"/>
    <col min="9747" max="9747" width="34.85546875" style="2" customWidth="1"/>
    <col min="9748" max="9984" width="16" style="2"/>
    <col min="9985" max="9985" width="21.42578125" style="2" customWidth="1"/>
    <col min="9986" max="9986" width="23.5703125" style="2" customWidth="1"/>
    <col min="9987" max="9987" width="15" style="2" customWidth="1"/>
    <col min="9988" max="9988" width="15.140625" style="2" customWidth="1"/>
    <col min="9989" max="9989" width="16" style="2" customWidth="1"/>
    <col min="9990" max="9990" width="16.140625" style="2" customWidth="1"/>
    <col min="9991" max="9991" width="17.140625" style="2" customWidth="1"/>
    <col min="9992" max="9992" width="15.28515625" style="2" customWidth="1"/>
    <col min="9993" max="9993" width="12.7109375" style="2" customWidth="1"/>
    <col min="9994" max="9994" width="15.140625" style="2" customWidth="1"/>
    <col min="9995" max="9995" width="15.28515625" style="2" customWidth="1"/>
    <col min="9996" max="9996" width="23.85546875" style="2" customWidth="1"/>
    <col min="9997" max="9997" width="25.5703125" style="2" customWidth="1"/>
    <col min="9998" max="9998" width="20.5703125" style="2" customWidth="1"/>
    <col min="9999" max="9999" width="16.7109375" style="2" customWidth="1"/>
    <col min="10000" max="10000" width="16" style="2"/>
    <col min="10001" max="10001" width="12.140625" style="2" customWidth="1"/>
    <col min="10002" max="10002" width="4.42578125" style="2" customWidth="1"/>
    <col min="10003" max="10003" width="34.85546875" style="2" customWidth="1"/>
    <col min="10004" max="10240" width="16" style="2"/>
    <col min="10241" max="10241" width="21.42578125" style="2" customWidth="1"/>
    <col min="10242" max="10242" width="23.5703125" style="2" customWidth="1"/>
    <col min="10243" max="10243" width="15" style="2" customWidth="1"/>
    <col min="10244" max="10244" width="15.140625" style="2" customWidth="1"/>
    <col min="10245" max="10245" width="16" style="2" customWidth="1"/>
    <col min="10246" max="10246" width="16.140625" style="2" customWidth="1"/>
    <col min="10247" max="10247" width="17.140625" style="2" customWidth="1"/>
    <col min="10248" max="10248" width="15.28515625" style="2" customWidth="1"/>
    <col min="10249" max="10249" width="12.7109375" style="2" customWidth="1"/>
    <col min="10250" max="10250" width="15.140625" style="2" customWidth="1"/>
    <col min="10251" max="10251" width="15.28515625" style="2" customWidth="1"/>
    <col min="10252" max="10252" width="23.85546875" style="2" customWidth="1"/>
    <col min="10253" max="10253" width="25.5703125" style="2" customWidth="1"/>
    <col min="10254" max="10254" width="20.5703125" style="2" customWidth="1"/>
    <col min="10255" max="10255" width="16.7109375" style="2" customWidth="1"/>
    <col min="10256" max="10256" width="16" style="2"/>
    <col min="10257" max="10257" width="12.140625" style="2" customWidth="1"/>
    <col min="10258" max="10258" width="4.42578125" style="2" customWidth="1"/>
    <col min="10259" max="10259" width="34.85546875" style="2" customWidth="1"/>
    <col min="10260" max="10496" width="16" style="2"/>
    <col min="10497" max="10497" width="21.42578125" style="2" customWidth="1"/>
    <col min="10498" max="10498" width="23.5703125" style="2" customWidth="1"/>
    <col min="10499" max="10499" width="15" style="2" customWidth="1"/>
    <col min="10500" max="10500" width="15.140625" style="2" customWidth="1"/>
    <col min="10501" max="10501" width="16" style="2" customWidth="1"/>
    <col min="10502" max="10502" width="16.140625" style="2" customWidth="1"/>
    <col min="10503" max="10503" width="17.140625" style="2" customWidth="1"/>
    <col min="10504" max="10504" width="15.28515625" style="2" customWidth="1"/>
    <col min="10505" max="10505" width="12.7109375" style="2" customWidth="1"/>
    <col min="10506" max="10506" width="15.140625" style="2" customWidth="1"/>
    <col min="10507" max="10507" width="15.28515625" style="2" customWidth="1"/>
    <col min="10508" max="10508" width="23.85546875" style="2" customWidth="1"/>
    <col min="10509" max="10509" width="25.5703125" style="2" customWidth="1"/>
    <col min="10510" max="10510" width="20.5703125" style="2" customWidth="1"/>
    <col min="10511" max="10511" width="16.7109375" style="2" customWidth="1"/>
    <col min="10512" max="10512" width="16" style="2"/>
    <col min="10513" max="10513" width="12.140625" style="2" customWidth="1"/>
    <col min="10514" max="10514" width="4.42578125" style="2" customWidth="1"/>
    <col min="10515" max="10515" width="34.85546875" style="2" customWidth="1"/>
    <col min="10516" max="10752" width="16" style="2"/>
    <col min="10753" max="10753" width="21.42578125" style="2" customWidth="1"/>
    <col min="10754" max="10754" width="23.5703125" style="2" customWidth="1"/>
    <col min="10755" max="10755" width="15" style="2" customWidth="1"/>
    <col min="10756" max="10756" width="15.140625" style="2" customWidth="1"/>
    <col min="10757" max="10757" width="16" style="2" customWidth="1"/>
    <col min="10758" max="10758" width="16.140625" style="2" customWidth="1"/>
    <col min="10759" max="10759" width="17.140625" style="2" customWidth="1"/>
    <col min="10760" max="10760" width="15.28515625" style="2" customWidth="1"/>
    <col min="10761" max="10761" width="12.7109375" style="2" customWidth="1"/>
    <col min="10762" max="10762" width="15.140625" style="2" customWidth="1"/>
    <col min="10763" max="10763" width="15.28515625" style="2" customWidth="1"/>
    <col min="10764" max="10764" width="23.85546875" style="2" customWidth="1"/>
    <col min="10765" max="10765" width="25.5703125" style="2" customWidth="1"/>
    <col min="10766" max="10766" width="20.5703125" style="2" customWidth="1"/>
    <col min="10767" max="10767" width="16.7109375" style="2" customWidth="1"/>
    <col min="10768" max="10768" width="16" style="2"/>
    <col min="10769" max="10769" width="12.140625" style="2" customWidth="1"/>
    <col min="10770" max="10770" width="4.42578125" style="2" customWidth="1"/>
    <col min="10771" max="10771" width="34.85546875" style="2" customWidth="1"/>
    <col min="10772" max="11008" width="16" style="2"/>
    <col min="11009" max="11009" width="21.42578125" style="2" customWidth="1"/>
    <col min="11010" max="11010" width="23.5703125" style="2" customWidth="1"/>
    <col min="11011" max="11011" width="15" style="2" customWidth="1"/>
    <col min="11012" max="11012" width="15.140625" style="2" customWidth="1"/>
    <col min="11013" max="11013" width="16" style="2" customWidth="1"/>
    <col min="11014" max="11014" width="16.140625" style="2" customWidth="1"/>
    <col min="11015" max="11015" width="17.140625" style="2" customWidth="1"/>
    <col min="11016" max="11016" width="15.28515625" style="2" customWidth="1"/>
    <col min="11017" max="11017" width="12.7109375" style="2" customWidth="1"/>
    <col min="11018" max="11018" width="15.140625" style="2" customWidth="1"/>
    <col min="11019" max="11019" width="15.28515625" style="2" customWidth="1"/>
    <col min="11020" max="11020" width="23.85546875" style="2" customWidth="1"/>
    <col min="11021" max="11021" width="25.5703125" style="2" customWidth="1"/>
    <col min="11022" max="11022" width="20.5703125" style="2" customWidth="1"/>
    <col min="11023" max="11023" width="16.7109375" style="2" customWidth="1"/>
    <col min="11024" max="11024" width="16" style="2"/>
    <col min="11025" max="11025" width="12.140625" style="2" customWidth="1"/>
    <col min="11026" max="11026" width="4.42578125" style="2" customWidth="1"/>
    <col min="11027" max="11027" width="34.85546875" style="2" customWidth="1"/>
    <col min="11028" max="11264" width="16" style="2"/>
    <col min="11265" max="11265" width="21.42578125" style="2" customWidth="1"/>
    <col min="11266" max="11266" width="23.5703125" style="2" customWidth="1"/>
    <col min="11267" max="11267" width="15" style="2" customWidth="1"/>
    <col min="11268" max="11268" width="15.140625" style="2" customWidth="1"/>
    <col min="11269" max="11269" width="16" style="2" customWidth="1"/>
    <col min="11270" max="11270" width="16.140625" style="2" customWidth="1"/>
    <col min="11271" max="11271" width="17.140625" style="2" customWidth="1"/>
    <col min="11272" max="11272" width="15.28515625" style="2" customWidth="1"/>
    <col min="11273" max="11273" width="12.7109375" style="2" customWidth="1"/>
    <col min="11274" max="11274" width="15.140625" style="2" customWidth="1"/>
    <col min="11275" max="11275" width="15.28515625" style="2" customWidth="1"/>
    <col min="11276" max="11276" width="23.85546875" style="2" customWidth="1"/>
    <col min="11277" max="11277" width="25.5703125" style="2" customWidth="1"/>
    <col min="11278" max="11278" width="20.5703125" style="2" customWidth="1"/>
    <col min="11279" max="11279" width="16.7109375" style="2" customWidth="1"/>
    <col min="11280" max="11280" width="16" style="2"/>
    <col min="11281" max="11281" width="12.140625" style="2" customWidth="1"/>
    <col min="11282" max="11282" width="4.42578125" style="2" customWidth="1"/>
    <col min="11283" max="11283" width="34.85546875" style="2" customWidth="1"/>
    <col min="11284" max="11520" width="16" style="2"/>
    <col min="11521" max="11521" width="21.42578125" style="2" customWidth="1"/>
    <col min="11522" max="11522" width="23.5703125" style="2" customWidth="1"/>
    <col min="11523" max="11523" width="15" style="2" customWidth="1"/>
    <col min="11524" max="11524" width="15.140625" style="2" customWidth="1"/>
    <col min="11525" max="11525" width="16" style="2" customWidth="1"/>
    <col min="11526" max="11526" width="16.140625" style="2" customWidth="1"/>
    <col min="11527" max="11527" width="17.140625" style="2" customWidth="1"/>
    <col min="11528" max="11528" width="15.28515625" style="2" customWidth="1"/>
    <col min="11529" max="11529" width="12.7109375" style="2" customWidth="1"/>
    <col min="11530" max="11530" width="15.140625" style="2" customWidth="1"/>
    <col min="11531" max="11531" width="15.28515625" style="2" customWidth="1"/>
    <col min="11532" max="11532" width="23.85546875" style="2" customWidth="1"/>
    <col min="11533" max="11533" width="25.5703125" style="2" customWidth="1"/>
    <col min="11534" max="11534" width="20.5703125" style="2" customWidth="1"/>
    <col min="11535" max="11535" width="16.7109375" style="2" customWidth="1"/>
    <col min="11536" max="11536" width="16" style="2"/>
    <col min="11537" max="11537" width="12.140625" style="2" customWidth="1"/>
    <col min="11538" max="11538" width="4.42578125" style="2" customWidth="1"/>
    <col min="11539" max="11539" width="34.85546875" style="2" customWidth="1"/>
    <col min="11540" max="11776" width="16" style="2"/>
    <col min="11777" max="11777" width="21.42578125" style="2" customWidth="1"/>
    <col min="11778" max="11778" width="23.5703125" style="2" customWidth="1"/>
    <col min="11779" max="11779" width="15" style="2" customWidth="1"/>
    <col min="11780" max="11780" width="15.140625" style="2" customWidth="1"/>
    <col min="11781" max="11781" width="16" style="2" customWidth="1"/>
    <col min="11782" max="11782" width="16.140625" style="2" customWidth="1"/>
    <col min="11783" max="11783" width="17.140625" style="2" customWidth="1"/>
    <col min="11784" max="11784" width="15.28515625" style="2" customWidth="1"/>
    <col min="11785" max="11785" width="12.7109375" style="2" customWidth="1"/>
    <col min="11786" max="11786" width="15.140625" style="2" customWidth="1"/>
    <col min="11787" max="11787" width="15.28515625" style="2" customWidth="1"/>
    <col min="11788" max="11788" width="23.85546875" style="2" customWidth="1"/>
    <col min="11789" max="11789" width="25.5703125" style="2" customWidth="1"/>
    <col min="11790" max="11790" width="20.5703125" style="2" customWidth="1"/>
    <col min="11791" max="11791" width="16.7109375" style="2" customWidth="1"/>
    <col min="11792" max="11792" width="16" style="2"/>
    <col min="11793" max="11793" width="12.140625" style="2" customWidth="1"/>
    <col min="11794" max="11794" width="4.42578125" style="2" customWidth="1"/>
    <col min="11795" max="11795" width="34.85546875" style="2" customWidth="1"/>
    <col min="11796" max="12032" width="16" style="2"/>
    <col min="12033" max="12033" width="21.42578125" style="2" customWidth="1"/>
    <col min="12034" max="12034" width="23.5703125" style="2" customWidth="1"/>
    <col min="12035" max="12035" width="15" style="2" customWidth="1"/>
    <col min="12036" max="12036" width="15.140625" style="2" customWidth="1"/>
    <col min="12037" max="12037" width="16" style="2" customWidth="1"/>
    <col min="12038" max="12038" width="16.140625" style="2" customWidth="1"/>
    <col min="12039" max="12039" width="17.140625" style="2" customWidth="1"/>
    <col min="12040" max="12040" width="15.28515625" style="2" customWidth="1"/>
    <col min="12041" max="12041" width="12.7109375" style="2" customWidth="1"/>
    <col min="12042" max="12042" width="15.140625" style="2" customWidth="1"/>
    <col min="12043" max="12043" width="15.28515625" style="2" customWidth="1"/>
    <col min="12044" max="12044" width="23.85546875" style="2" customWidth="1"/>
    <col min="12045" max="12045" width="25.5703125" style="2" customWidth="1"/>
    <col min="12046" max="12046" width="20.5703125" style="2" customWidth="1"/>
    <col min="12047" max="12047" width="16.7109375" style="2" customWidth="1"/>
    <col min="12048" max="12048" width="16" style="2"/>
    <col min="12049" max="12049" width="12.140625" style="2" customWidth="1"/>
    <col min="12050" max="12050" width="4.42578125" style="2" customWidth="1"/>
    <col min="12051" max="12051" width="34.85546875" style="2" customWidth="1"/>
    <col min="12052" max="12288" width="16" style="2"/>
    <col min="12289" max="12289" width="21.42578125" style="2" customWidth="1"/>
    <col min="12290" max="12290" width="23.5703125" style="2" customWidth="1"/>
    <col min="12291" max="12291" width="15" style="2" customWidth="1"/>
    <col min="12292" max="12292" width="15.140625" style="2" customWidth="1"/>
    <col min="12293" max="12293" width="16" style="2" customWidth="1"/>
    <col min="12294" max="12294" width="16.140625" style="2" customWidth="1"/>
    <col min="12295" max="12295" width="17.140625" style="2" customWidth="1"/>
    <col min="12296" max="12296" width="15.28515625" style="2" customWidth="1"/>
    <col min="12297" max="12297" width="12.7109375" style="2" customWidth="1"/>
    <col min="12298" max="12298" width="15.140625" style="2" customWidth="1"/>
    <col min="12299" max="12299" width="15.28515625" style="2" customWidth="1"/>
    <col min="12300" max="12300" width="23.85546875" style="2" customWidth="1"/>
    <col min="12301" max="12301" width="25.5703125" style="2" customWidth="1"/>
    <col min="12302" max="12302" width="20.5703125" style="2" customWidth="1"/>
    <col min="12303" max="12303" width="16.7109375" style="2" customWidth="1"/>
    <col min="12304" max="12304" width="16" style="2"/>
    <col min="12305" max="12305" width="12.140625" style="2" customWidth="1"/>
    <col min="12306" max="12306" width="4.42578125" style="2" customWidth="1"/>
    <col min="12307" max="12307" width="34.85546875" style="2" customWidth="1"/>
    <col min="12308" max="12544" width="16" style="2"/>
    <col min="12545" max="12545" width="21.42578125" style="2" customWidth="1"/>
    <col min="12546" max="12546" width="23.5703125" style="2" customWidth="1"/>
    <col min="12547" max="12547" width="15" style="2" customWidth="1"/>
    <col min="12548" max="12548" width="15.140625" style="2" customWidth="1"/>
    <col min="12549" max="12549" width="16" style="2" customWidth="1"/>
    <col min="12550" max="12550" width="16.140625" style="2" customWidth="1"/>
    <col min="12551" max="12551" width="17.140625" style="2" customWidth="1"/>
    <col min="12552" max="12552" width="15.28515625" style="2" customWidth="1"/>
    <col min="12553" max="12553" width="12.7109375" style="2" customWidth="1"/>
    <col min="12554" max="12554" width="15.140625" style="2" customWidth="1"/>
    <col min="12555" max="12555" width="15.28515625" style="2" customWidth="1"/>
    <col min="12556" max="12556" width="23.85546875" style="2" customWidth="1"/>
    <col min="12557" max="12557" width="25.5703125" style="2" customWidth="1"/>
    <col min="12558" max="12558" width="20.5703125" style="2" customWidth="1"/>
    <col min="12559" max="12559" width="16.7109375" style="2" customWidth="1"/>
    <col min="12560" max="12560" width="16" style="2"/>
    <col min="12561" max="12561" width="12.140625" style="2" customWidth="1"/>
    <col min="12562" max="12562" width="4.42578125" style="2" customWidth="1"/>
    <col min="12563" max="12563" width="34.85546875" style="2" customWidth="1"/>
    <col min="12564" max="12800" width="16" style="2"/>
    <col min="12801" max="12801" width="21.42578125" style="2" customWidth="1"/>
    <col min="12802" max="12802" width="23.5703125" style="2" customWidth="1"/>
    <col min="12803" max="12803" width="15" style="2" customWidth="1"/>
    <col min="12804" max="12804" width="15.140625" style="2" customWidth="1"/>
    <col min="12805" max="12805" width="16" style="2" customWidth="1"/>
    <col min="12806" max="12806" width="16.140625" style="2" customWidth="1"/>
    <col min="12807" max="12807" width="17.140625" style="2" customWidth="1"/>
    <col min="12808" max="12808" width="15.28515625" style="2" customWidth="1"/>
    <col min="12809" max="12809" width="12.7109375" style="2" customWidth="1"/>
    <col min="12810" max="12810" width="15.140625" style="2" customWidth="1"/>
    <col min="12811" max="12811" width="15.28515625" style="2" customWidth="1"/>
    <col min="12812" max="12812" width="23.85546875" style="2" customWidth="1"/>
    <col min="12813" max="12813" width="25.5703125" style="2" customWidth="1"/>
    <col min="12814" max="12814" width="20.5703125" style="2" customWidth="1"/>
    <col min="12815" max="12815" width="16.7109375" style="2" customWidth="1"/>
    <col min="12816" max="12816" width="16" style="2"/>
    <col min="12817" max="12817" width="12.140625" style="2" customWidth="1"/>
    <col min="12818" max="12818" width="4.42578125" style="2" customWidth="1"/>
    <col min="12819" max="12819" width="34.85546875" style="2" customWidth="1"/>
    <col min="12820" max="13056" width="16" style="2"/>
    <col min="13057" max="13057" width="21.42578125" style="2" customWidth="1"/>
    <col min="13058" max="13058" width="23.5703125" style="2" customWidth="1"/>
    <col min="13059" max="13059" width="15" style="2" customWidth="1"/>
    <col min="13060" max="13060" width="15.140625" style="2" customWidth="1"/>
    <col min="13061" max="13061" width="16" style="2" customWidth="1"/>
    <col min="13062" max="13062" width="16.140625" style="2" customWidth="1"/>
    <col min="13063" max="13063" width="17.140625" style="2" customWidth="1"/>
    <col min="13064" max="13064" width="15.28515625" style="2" customWidth="1"/>
    <col min="13065" max="13065" width="12.7109375" style="2" customWidth="1"/>
    <col min="13066" max="13066" width="15.140625" style="2" customWidth="1"/>
    <col min="13067" max="13067" width="15.28515625" style="2" customWidth="1"/>
    <col min="13068" max="13068" width="23.85546875" style="2" customWidth="1"/>
    <col min="13069" max="13069" width="25.5703125" style="2" customWidth="1"/>
    <col min="13070" max="13070" width="20.5703125" style="2" customWidth="1"/>
    <col min="13071" max="13071" width="16.7109375" style="2" customWidth="1"/>
    <col min="13072" max="13072" width="16" style="2"/>
    <col min="13073" max="13073" width="12.140625" style="2" customWidth="1"/>
    <col min="13074" max="13074" width="4.42578125" style="2" customWidth="1"/>
    <col min="13075" max="13075" width="34.85546875" style="2" customWidth="1"/>
    <col min="13076" max="13312" width="16" style="2"/>
    <col min="13313" max="13313" width="21.42578125" style="2" customWidth="1"/>
    <col min="13314" max="13314" width="23.5703125" style="2" customWidth="1"/>
    <col min="13315" max="13315" width="15" style="2" customWidth="1"/>
    <col min="13316" max="13316" width="15.140625" style="2" customWidth="1"/>
    <col min="13317" max="13317" width="16" style="2" customWidth="1"/>
    <col min="13318" max="13318" width="16.140625" style="2" customWidth="1"/>
    <col min="13319" max="13319" width="17.140625" style="2" customWidth="1"/>
    <col min="13320" max="13320" width="15.28515625" style="2" customWidth="1"/>
    <col min="13321" max="13321" width="12.7109375" style="2" customWidth="1"/>
    <col min="13322" max="13322" width="15.140625" style="2" customWidth="1"/>
    <col min="13323" max="13323" width="15.28515625" style="2" customWidth="1"/>
    <col min="13324" max="13324" width="23.85546875" style="2" customWidth="1"/>
    <col min="13325" max="13325" width="25.5703125" style="2" customWidth="1"/>
    <col min="13326" max="13326" width="20.5703125" style="2" customWidth="1"/>
    <col min="13327" max="13327" width="16.7109375" style="2" customWidth="1"/>
    <col min="13328" max="13328" width="16" style="2"/>
    <col min="13329" max="13329" width="12.140625" style="2" customWidth="1"/>
    <col min="13330" max="13330" width="4.42578125" style="2" customWidth="1"/>
    <col min="13331" max="13331" width="34.85546875" style="2" customWidth="1"/>
    <col min="13332" max="13568" width="16" style="2"/>
    <col min="13569" max="13569" width="21.42578125" style="2" customWidth="1"/>
    <col min="13570" max="13570" width="23.5703125" style="2" customWidth="1"/>
    <col min="13571" max="13571" width="15" style="2" customWidth="1"/>
    <col min="13572" max="13572" width="15.140625" style="2" customWidth="1"/>
    <col min="13573" max="13573" width="16" style="2" customWidth="1"/>
    <col min="13574" max="13574" width="16.140625" style="2" customWidth="1"/>
    <col min="13575" max="13575" width="17.140625" style="2" customWidth="1"/>
    <col min="13576" max="13576" width="15.28515625" style="2" customWidth="1"/>
    <col min="13577" max="13577" width="12.7109375" style="2" customWidth="1"/>
    <col min="13578" max="13578" width="15.140625" style="2" customWidth="1"/>
    <col min="13579" max="13579" width="15.28515625" style="2" customWidth="1"/>
    <col min="13580" max="13580" width="23.85546875" style="2" customWidth="1"/>
    <col min="13581" max="13581" width="25.5703125" style="2" customWidth="1"/>
    <col min="13582" max="13582" width="20.5703125" style="2" customWidth="1"/>
    <col min="13583" max="13583" width="16.7109375" style="2" customWidth="1"/>
    <col min="13584" max="13584" width="16" style="2"/>
    <col min="13585" max="13585" width="12.140625" style="2" customWidth="1"/>
    <col min="13586" max="13586" width="4.42578125" style="2" customWidth="1"/>
    <col min="13587" max="13587" width="34.85546875" style="2" customWidth="1"/>
    <col min="13588" max="13824" width="16" style="2"/>
    <col min="13825" max="13825" width="21.42578125" style="2" customWidth="1"/>
    <col min="13826" max="13826" width="23.5703125" style="2" customWidth="1"/>
    <col min="13827" max="13827" width="15" style="2" customWidth="1"/>
    <col min="13828" max="13828" width="15.140625" style="2" customWidth="1"/>
    <col min="13829" max="13829" width="16" style="2" customWidth="1"/>
    <col min="13830" max="13830" width="16.140625" style="2" customWidth="1"/>
    <col min="13831" max="13831" width="17.140625" style="2" customWidth="1"/>
    <col min="13832" max="13832" width="15.28515625" style="2" customWidth="1"/>
    <col min="13833" max="13833" width="12.7109375" style="2" customWidth="1"/>
    <col min="13834" max="13834" width="15.140625" style="2" customWidth="1"/>
    <col min="13835" max="13835" width="15.28515625" style="2" customWidth="1"/>
    <col min="13836" max="13836" width="23.85546875" style="2" customWidth="1"/>
    <col min="13837" max="13837" width="25.5703125" style="2" customWidth="1"/>
    <col min="13838" max="13838" width="20.5703125" style="2" customWidth="1"/>
    <col min="13839" max="13839" width="16.7109375" style="2" customWidth="1"/>
    <col min="13840" max="13840" width="16" style="2"/>
    <col min="13841" max="13841" width="12.140625" style="2" customWidth="1"/>
    <col min="13842" max="13842" width="4.42578125" style="2" customWidth="1"/>
    <col min="13843" max="13843" width="34.85546875" style="2" customWidth="1"/>
    <col min="13844" max="14080" width="16" style="2"/>
    <col min="14081" max="14081" width="21.42578125" style="2" customWidth="1"/>
    <col min="14082" max="14082" width="23.5703125" style="2" customWidth="1"/>
    <col min="14083" max="14083" width="15" style="2" customWidth="1"/>
    <col min="14084" max="14084" width="15.140625" style="2" customWidth="1"/>
    <col min="14085" max="14085" width="16" style="2" customWidth="1"/>
    <col min="14086" max="14086" width="16.140625" style="2" customWidth="1"/>
    <col min="14087" max="14087" width="17.140625" style="2" customWidth="1"/>
    <col min="14088" max="14088" width="15.28515625" style="2" customWidth="1"/>
    <col min="14089" max="14089" width="12.7109375" style="2" customWidth="1"/>
    <col min="14090" max="14090" width="15.140625" style="2" customWidth="1"/>
    <col min="14091" max="14091" width="15.28515625" style="2" customWidth="1"/>
    <col min="14092" max="14092" width="23.85546875" style="2" customWidth="1"/>
    <col min="14093" max="14093" width="25.5703125" style="2" customWidth="1"/>
    <col min="14094" max="14094" width="20.5703125" style="2" customWidth="1"/>
    <col min="14095" max="14095" width="16.7109375" style="2" customWidth="1"/>
    <col min="14096" max="14096" width="16" style="2"/>
    <col min="14097" max="14097" width="12.140625" style="2" customWidth="1"/>
    <col min="14098" max="14098" width="4.42578125" style="2" customWidth="1"/>
    <col min="14099" max="14099" width="34.85546875" style="2" customWidth="1"/>
    <col min="14100" max="14336" width="16" style="2"/>
    <col min="14337" max="14337" width="21.42578125" style="2" customWidth="1"/>
    <col min="14338" max="14338" width="23.5703125" style="2" customWidth="1"/>
    <col min="14339" max="14339" width="15" style="2" customWidth="1"/>
    <col min="14340" max="14340" width="15.140625" style="2" customWidth="1"/>
    <col min="14341" max="14341" width="16" style="2" customWidth="1"/>
    <col min="14342" max="14342" width="16.140625" style="2" customWidth="1"/>
    <col min="14343" max="14343" width="17.140625" style="2" customWidth="1"/>
    <col min="14344" max="14344" width="15.28515625" style="2" customWidth="1"/>
    <col min="14345" max="14345" width="12.7109375" style="2" customWidth="1"/>
    <col min="14346" max="14346" width="15.140625" style="2" customWidth="1"/>
    <col min="14347" max="14347" width="15.28515625" style="2" customWidth="1"/>
    <col min="14348" max="14348" width="23.85546875" style="2" customWidth="1"/>
    <col min="14349" max="14349" width="25.5703125" style="2" customWidth="1"/>
    <col min="14350" max="14350" width="20.5703125" style="2" customWidth="1"/>
    <col min="14351" max="14351" width="16.7109375" style="2" customWidth="1"/>
    <col min="14352" max="14352" width="16" style="2"/>
    <col min="14353" max="14353" width="12.140625" style="2" customWidth="1"/>
    <col min="14354" max="14354" width="4.42578125" style="2" customWidth="1"/>
    <col min="14355" max="14355" width="34.85546875" style="2" customWidth="1"/>
    <col min="14356" max="14592" width="16" style="2"/>
    <col min="14593" max="14593" width="21.42578125" style="2" customWidth="1"/>
    <col min="14594" max="14594" width="23.5703125" style="2" customWidth="1"/>
    <col min="14595" max="14595" width="15" style="2" customWidth="1"/>
    <col min="14596" max="14596" width="15.140625" style="2" customWidth="1"/>
    <col min="14597" max="14597" width="16" style="2" customWidth="1"/>
    <col min="14598" max="14598" width="16.140625" style="2" customWidth="1"/>
    <col min="14599" max="14599" width="17.140625" style="2" customWidth="1"/>
    <col min="14600" max="14600" width="15.28515625" style="2" customWidth="1"/>
    <col min="14601" max="14601" width="12.7109375" style="2" customWidth="1"/>
    <col min="14602" max="14602" width="15.140625" style="2" customWidth="1"/>
    <col min="14603" max="14603" width="15.28515625" style="2" customWidth="1"/>
    <col min="14604" max="14604" width="23.85546875" style="2" customWidth="1"/>
    <col min="14605" max="14605" width="25.5703125" style="2" customWidth="1"/>
    <col min="14606" max="14606" width="20.5703125" style="2" customWidth="1"/>
    <col min="14607" max="14607" width="16.7109375" style="2" customWidth="1"/>
    <col min="14608" max="14608" width="16" style="2"/>
    <col min="14609" max="14609" width="12.140625" style="2" customWidth="1"/>
    <col min="14610" max="14610" width="4.42578125" style="2" customWidth="1"/>
    <col min="14611" max="14611" width="34.85546875" style="2" customWidth="1"/>
    <col min="14612" max="14848" width="16" style="2"/>
    <col min="14849" max="14849" width="21.42578125" style="2" customWidth="1"/>
    <col min="14850" max="14850" width="23.5703125" style="2" customWidth="1"/>
    <col min="14851" max="14851" width="15" style="2" customWidth="1"/>
    <col min="14852" max="14852" width="15.140625" style="2" customWidth="1"/>
    <col min="14853" max="14853" width="16" style="2" customWidth="1"/>
    <col min="14854" max="14854" width="16.140625" style="2" customWidth="1"/>
    <col min="14855" max="14855" width="17.140625" style="2" customWidth="1"/>
    <col min="14856" max="14856" width="15.28515625" style="2" customWidth="1"/>
    <col min="14857" max="14857" width="12.7109375" style="2" customWidth="1"/>
    <col min="14858" max="14858" width="15.140625" style="2" customWidth="1"/>
    <col min="14859" max="14859" width="15.28515625" style="2" customWidth="1"/>
    <col min="14860" max="14860" width="23.85546875" style="2" customWidth="1"/>
    <col min="14861" max="14861" width="25.5703125" style="2" customWidth="1"/>
    <col min="14862" max="14862" width="20.5703125" style="2" customWidth="1"/>
    <col min="14863" max="14863" width="16.7109375" style="2" customWidth="1"/>
    <col min="14864" max="14864" width="16" style="2"/>
    <col min="14865" max="14865" width="12.140625" style="2" customWidth="1"/>
    <col min="14866" max="14866" width="4.42578125" style="2" customWidth="1"/>
    <col min="14867" max="14867" width="34.85546875" style="2" customWidth="1"/>
    <col min="14868" max="15104" width="16" style="2"/>
    <col min="15105" max="15105" width="21.42578125" style="2" customWidth="1"/>
    <col min="15106" max="15106" width="23.5703125" style="2" customWidth="1"/>
    <col min="15107" max="15107" width="15" style="2" customWidth="1"/>
    <col min="15108" max="15108" width="15.140625" style="2" customWidth="1"/>
    <col min="15109" max="15109" width="16" style="2" customWidth="1"/>
    <col min="15110" max="15110" width="16.140625" style="2" customWidth="1"/>
    <col min="15111" max="15111" width="17.140625" style="2" customWidth="1"/>
    <col min="15112" max="15112" width="15.28515625" style="2" customWidth="1"/>
    <col min="15113" max="15113" width="12.7109375" style="2" customWidth="1"/>
    <col min="15114" max="15114" width="15.140625" style="2" customWidth="1"/>
    <col min="15115" max="15115" width="15.28515625" style="2" customWidth="1"/>
    <col min="15116" max="15116" width="23.85546875" style="2" customWidth="1"/>
    <col min="15117" max="15117" width="25.5703125" style="2" customWidth="1"/>
    <col min="15118" max="15118" width="20.5703125" style="2" customWidth="1"/>
    <col min="15119" max="15119" width="16.7109375" style="2" customWidth="1"/>
    <col min="15120" max="15120" width="16" style="2"/>
    <col min="15121" max="15121" width="12.140625" style="2" customWidth="1"/>
    <col min="15122" max="15122" width="4.42578125" style="2" customWidth="1"/>
    <col min="15123" max="15123" width="34.85546875" style="2" customWidth="1"/>
    <col min="15124" max="15360" width="16" style="2"/>
    <col min="15361" max="15361" width="21.42578125" style="2" customWidth="1"/>
    <col min="15362" max="15362" width="23.5703125" style="2" customWidth="1"/>
    <col min="15363" max="15363" width="15" style="2" customWidth="1"/>
    <col min="15364" max="15364" width="15.140625" style="2" customWidth="1"/>
    <col min="15365" max="15365" width="16" style="2" customWidth="1"/>
    <col min="15366" max="15366" width="16.140625" style="2" customWidth="1"/>
    <col min="15367" max="15367" width="17.140625" style="2" customWidth="1"/>
    <col min="15368" max="15368" width="15.28515625" style="2" customWidth="1"/>
    <col min="15369" max="15369" width="12.7109375" style="2" customWidth="1"/>
    <col min="15370" max="15370" width="15.140625" style="2" customWidth="1"/>
    <col min="15371" max="15371" width="15.28515625" style="2" customWidth="1"/>
    <col min="15372" max="15372" width="23.85546875" style="2" customWidth="1"/>
    <col min="15373" max="15373" width="25.5703125" style="2" customWidth="1"/>
    <col min="15374" max="15374" width="20.5703125" style="2" customWidth="1"/>
    <col min="15375" max="15375" width="16.7109375" style="2" customWidth="1"/>
    <col min="15376" max="15376" width="16" style="2"/>
    <col min="15377" max="15377" width="12.140625" style="2" customWidth="1"/>
    <col min="15378" max="15378" width="4.42578125" style="2" customWidth="1"/>
    <col min="15379" max="15379" width="34.85546875" style="2" customWidth="1"/>
    <col min="15380" max="15616" width="16" style="2"/>
    <col min="15617" max="15617" width="21.42578125" style="2" customWidth="1"/>
    <col min="15618" max="15618" width="23.5703125" style="2" customWidth="1"/>
    <col min="15619" max="15619" width="15" style="2" customWidth="1"/>
    <col min="15620" max="15620" width="15.140625" style="2" customWidth="1"/>
    <col min="15621" max="15621" width="16" style="2" customWidth="1"/>
    <col min="15622" max="15622" width="16.140625" style="2" customWidth="1"/>
    <col min="15623" max="15623" width="17.140625" style="2" customWidth="1"/>
    <col min="15624" max="15624" width="15.28515625" style="2" customWidth="1"/>
    <col min="15625" max="15625" width="12.7109375" style="2" customWidth="1"/>
    <col min="15626" max="15626" width="15.140625" style="2" customWidth="1"/>
    <col min="15627" max="15627" width="15.28515625" style="2" customWidth="1"/>
    <col min="15628" max="15628" width="23.85546875" style="2" customWidth="1"/>
    <col min="15629" max="15629" width="25.5703125" style="2" customWidth="1"/>
    <col min="15630" max="15630" width="20.5703125" style="2" customWidth="1"/>
    <col min="15631" max="15631" width="16.7109375" style="2" customWidth="1"/>
    <col min="15632" max="15632" width="16" style="2"/>
    <col min="15633" max="15633" width="12.140625" style="2" customWidth="1"/>
    <col min="15634" max="15634" width="4.42578125" style="2" customWidth="1"/>
    <col min="15635" max="15635" width="34.85546875" style="2" customWidth="1"/>
    <col min="15636" max="15872" width="16" style="2"/>
    <col min="15873" max="15873" width="21.42578125" style="2" customWidth="1"/>
    <col min="15874" max="15874" width="23.5703125" style="2" customWidth="1"/>
    <col min="15875" max="15875" width="15" style="2" customWidth="1"/>
    <col min="15876" max="15876" width="15.140625" style="2" customWidth="1"/>
    <col min="15877" max="15877" width="16" style="2" customWidth="1"/>
    <col min="15878" max="15878" width="16.140625" style="2" customWidth="1"/>
    <col min="15879" max="15879" width="17.140625" style="2" customWidth="1"/>
    <col min="15880" max="15880" width="15.28515625" style="2" customWidth="1"/>
    <col min="15881" max="15881" width="12.7109375" style="2" customWidth="1"/>
    <col min="15882" max="15882" width="15.140625" style="2" customWidth="1"/>
    <col min="15883" max="15883" width="15.28515625" style="2" customWidth="1"/>
    <col min="15884" max="15884" width="23.85546875" style="2" customWidth="1"/>
    <col min="15885" max="15885" width="25.5703125" style="2" customWidth="1"/>
    <col min="15886" max="15886" width="20.5703125" style="2" customWidth="1"/>
    <col min="15887" max="15887" width="16.7109375" style="2" customWidth="1"/>
    <col min="15888" max="15888" width="16" style="2"/>
    <col min="15889" max="15889" width="12.140625" style="2" customWidth="1"/>
    <col min="15890" max="15890" width="4.42578125" style="2" customWidth="1"/>
    <col min="15891" max="15891" width="34.85546875" style="2" customWidth="1"/>
    <col min="15892" max="16128" width="16" style="2"/>
    <col min="16129" max="16129" width="21.42578125" style="2" customWidth="1"/>
    <col min="16130" max="16130" width="23.5703125" style="2" customWidth="1"/>
    <col min="16131" max="16131" width="15" style="2" customWidth="1"/>
    <col min="16132" max="16132" width="15.140625" style="2" customWidth="1"/>
    <col min="16133" max="16133" width="16" style="2" customWidth="1"/>
    <col min="16134" max="16134" width="16.140625" style="2" customWidth="1"/>
    <col min="16135" max="16135" width="17.140625" style="2" customWidth="1"/>
    <col min="16136" max="16136" width="15.28515625" style="2" customWidth="1"/>
    <col min="16137" max="16137" width="12.7109375" style="2" customWidth="1"/>
    <col min="16138" max="16138" width="15.140625" style="2" customWidth="1"/>
    <col min="16139" max="16139" width="15.28515625" style="2" customWidth="1"/>
    <col min="16140" max="16140" width="23.85546875" style="2" customWidth="1"/>
    <col min="16141" max="16141" width="25.5703125" style="2" customWidth="1"/>
    <col min="16142" max="16142" width="20.5703125" style="2" customWidth="1"/>
    <col min="16143" max="16143" width="16.7109375" style="2" customWidth="1"/>
    <col min="16144" max="16144" width="16" style="2"/>
    <col min="16145" max="16145" width="12.140625" style="2" customWidth="1"/>
    <col min="16146" max="16146" width="4.42578125" style="2" customWidth="1"/>
    <col min="16147" max="16147" width="34.85546875" style="2" customWidth="1"/>
    <col min="16148" max="16384" width="16" style="2"/>
  </cols>
  <sheetData>
    <row r="1" spans="1:28" ht="15">
      <c r="S1" s="39"/>
      <c r="T1" s="1"/>
      <c r="U1" s="1"/>
      <c r="V1" s="1"/>
      <c r="W1" s="1"/>
      <c r="X1" s="1"/>
      <c r="Y1" s="1"/>
      <c r="Z1" s="1"/>
      <c r="AA1" s="1"/>
      <c r="AB1" s="1"/>
    </row>
    <row r="2" spans="1:28" ht="20.25" customHeight="1">
      <c r="A2" s="263" t="s">
        <v>238</v>
      </c>
      <c r="B2" s="264" t="str">
        <f>A4</f>
        <v>IAM no fatal</v>
      </c>
      <c r="C2" s="265"/>
      <c r="D2" s="266"/>
      <c r="E2" s="266"/>
      <c r="F2" s="266"/>
      <c r="G2" s="266"/>
      <c r="O2" s="267"/>
      <c r="P2" s="268"/>
      <c r="Q2" s="10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5.5">
      <c r="A3" s="71" t="s">
        <v>155</v>
      </c>
      <c r="B3" s="405" t="s">
        <v>156</v>
      </c>
      <c r="C3" s="405"/>
      <c r="D3" s="405"/>
      <c r="E3" s="405" t="s">
        <v>157</v>
      </c>
      <c r="F3" s="405"/>
      <c r="G3" s="405"/>
      <c r="H3" s="269" t="s">
        <v>128</v>
      </c>
      <c r="I3" s="406" t="s">
        <v>129</v>
      </c>
      <c r="J3" s="407"/>
      <c r="K3" s="408"/>
      <c r="L3" s="406" t="s">
        <v>130</v>
      </c>
      <c r="M3" s="408"/>
      <c r="N3" s="270" t="s">
        <v>131</v>
      </c>
      <c r="O3" s="268"/>
      <c r="T3" s="1"/>
      <c r="U3" s="1"/>
      <c r="W3" s="1"/>
      <c r="X3" s="1"/>
      <c r="Y3" s="1"/>
      <c r="Z3" s="1"/>
      <c r="AA3" s="1"/>
      <c r="AB3" s="1"/>
    </row>
    <row r="4" spans="1:28" ht="25.5">
      <c r="A4" s="72" t="s">
        <v>45</v>
      </c>
      <c r="B4" s="73" t="s">
        <v>158</v>
      </c>
      <c r="C4" s="73" t="s">
        <v>159</v>
      </c>
      <c r="D4" s="73" t="s">
        <v>1</v>
      </c>
      <c r="E4" s="73" t="s">
        <v>158</v>
      </c>
      <c r="F4" s="73" t="s">
        <v>159</v>
      </c>
      <c r="G4" s="73" t="s">
        <v>1</v>
      </c>
      <c r="H4" s="271" t="s">
        <v>133</v>
      </c>
      <c r="I4" s="272" t="s">
        <v>239</v>
      </c>
      <c r="J4" s="273" t="s">
        <v>240</v>
      </c>
      <c r="K4" s="272" t="s">
        <v>1</v>
      </c>
      <c r="L4" s="274" t="s">
        <v>239</v>
      </c>
      <c r="M4" s="275" t="s">
        <v>241</v>
      </c>
      <c r="N4" s="276" t="s">
        <v>133</v>
      </c>
      <c r="O4" s="268"/>
      <c r="P4" s="2" t="s">
        <v>134</v>
      </c>
      <c r="Q4" s="2" t="s">
        <v>134</v>
      </c>
      <c r="T4" s="1"/>
      <c r="U4" s="1"/>
      <c r="W4" s="1"/>
      <c r="X4" s="1"/>
      <c r="Y4" s="1"/>
      <c r="Z4" s="1"/>
      <c r="AA4" s="1"/>
      <c r="AB4" s="1"/>
    </row>
    <row r="5" spans="1:28">
      <c r="A5" s="106" t="s">
        <v>3</v>
      </c>
      <c r="B5" s="357">
        <v>186</v>
      </c>
      <c r="C5" s="277">
        <f>D5-B5</f>
        <v>4942</v>
      </c>
      <c r="D5" s="358">
        <v>5128</v>
      </c>
      <c r="E5" s="357">
        <v>235</v>
      </c>
      <c r="F5" s="277">
        <f>G5-E5</f>
        <v>4888</v>
      </c>
      <c r="G5" s="358">
        <v>5123</v>
      </c>
      <c r="H5" s="278">
        <v>3.8</v>
      </c>
      <c r="I5" s="279">
        <f t="shared" ref="I5:I9" si="0">D5*H5</f>
        <v>19486.399999999998</v>
      </c>
      <c r="J5" s="279">
        <f t="shared" ref="J5:J9" si="1">G5*H5</f>
        <v>19467.399999999998</v>
      </c>
      <c r="K5" s="279">
        <f>I5+J5</f>
        <v>38953.799999999996</v>
      </c>
      <c r="L5" s="280">
        <f t="shared" ref="L5:L10" si="2">B5/I5</f>
        <v>9.5451186468511386E-3</v>
      </c>
      <c r="M5" s="280">
        <f t="shared" ref="M5:M10" si="3">E5/J5</f>
        <v>1.2071463061323034E-2</v>
      </c>
      <c r="N5" s="281">
        <v>62</v>
      </c>
      <c r="O5" s="282">
        <f>N5*(D5+G5)</f>
        <v>635562</v>
      </c>
      <c r="P5" s="283" t="str">
        <f t="shared" ref="P5:P10" si="4">CONCATENATE(B5," ",$P$4," ",D5)</f>
        <v>186 / 5128</v>
      </c>
      <c r="Q5" s="283" t="str">
        <f t="shared" ref="Q5:Q10" si="5">CONCATENATE(E5," ",$Q$4," ",G5)</f>
        <v>235 / 5123</v>
      </c>
      <c r="T5" s="1"/>
      <c r="U5" s="1"/>
      <c r="W5" s="1"/>
      <c r="X5" s="1"/>
      <c r="Y5" s="1"/>
      <c r="Z5" s="1"/>
      <c r="AA5" s="1"/>
      <c r="AB5" s="1"/>
    </row>
    <row r="6" spans="1:28">
      <c r="A6" s="106" t="s">
        <v>4</v>
      </c>
      <c r="B6" s="357">
        <v>153</v>
      </c>
      <c r="C6" s="277">
        <f t="shared" ref="C6:C8" si="6">D6-B6</f>
        <v>5418</v>
      </c>
      <c r="D6" s="358">
        <v>5571</v>
      </c>
      <c r="E6" s="357">
        <v>156</v>
      </c>
      <c r="F6" s="277">
        <f t="shared" ref="F6:F9" si="7">G6-E6</f>
        <v>5413</v>
      </c>
      <c r="G6" s="358">
        <v>5569</v>
      </c>
      <c r="H6" s="278">
        <v>5</v>
      </c>
      <c r="I6" s="279">
        <f t="shared" si="0"/>
        <v>27855</v>
      </c>
      <c r="J6" s="279">
        <f t="shared" si="1"/>
        <v>27845</v>
      </c>
      <c r="K6" s="279">
        <f t="shared" ref="K6:K9" si="8">I6+J6</f>
        <v>55700</v>
      </c>
      <c r="L6" s="280">
        <f t="shared" si="2"/>
        <v>5.492730210016155E-3</v>
      </c>
      <c r="M6" s="280">
        <f t="shared" si="3"/>
        <v>5.6024420901418567E-3</v>
      </c>
      <c r="N6" s="281">
        <v>66</v>
      </c>
      <c r="O6" s="282">
        <f t="shared" ref="O6:O9" si="9">N6*(D6+G6)</f>
        <v>735240</v>
      </c>
      <c r="P6" s="283" t="str">
        <f t="shared" si="4"/>
        <v>153 / 5571</v>
      </c>
      <c r="Q6" s="283" t="str">
        <f t="shared" si="5"/>
        <v>156 / 5569</v>
      </c>
      <c r="T6" s="1"/>
      <c r="U6" s="1"/>
      <c r="W6" s="1"/>
      <c r="X6" s="1"/>
      <c r="Y6" s="1"/>
      <c r="Z6" s="1"/>
      <c r="AA6" s="1"/>
      <c r="AB6" s="1"/>
    </row>
    <row r="7" spans="1:28">
      <c r="A7" s="106" t="s">
        <v>259</v>
      </c>
      <c r="B7" s="357">
        <v>119</v>
      </c>
      <c r="C7" s="277">
        <f t="shared" si="6"/>
        <v>2486</v>
      </c>
      <c r="D7" s="358">
        <v>2605</v>
      </c>
      <c r="E7" s="357">
        <v>144</v>
      </c>
      <c r="F7" s="277">
        <f t="shared" si="7"/>
        <v>2489</v>
      </c>
      <c r="G7" s="358">
        <v>2633</v>
      </c>
      <c r="H7" s="278">
        <v>2.8</v>
      </c>
      <c r="I7" s="279">
        <f t="shared" si="0"/>
        <v>7293.9999999999991</v>
      </c>
      <c r="J7" s="279">
        <f t="shared" si="1"/>
        <v>7372.4</v>
      </c>
      <c r="K7" s="279">
        <f t="shared" si="8"/>
        <v>14666.399999999998</v>
      </c>
      <c r="L7" s="280">
        <f t="shared" si="2"/>
        <v>1.6314779270633399E-2</v>
      </c>
      <c r="M7" s="280">
        <f t="shared" si="3"/>
        <v>1.9532309695621509E-2</v>
      </c>
      <c r="N7" s="281">
        <v>62</v>
      </c>
      <c r="O7" s="282">
        <f t="shared" si="9"/>
        <v>324756</v>
      </c>
      <c r="P7" s="283" t="str">
        <f t="shared" si="4"/>
        <v>119 / 2605</v>
      </c>
      <c r="Q7" s="283" t="str">
        <f t="shared" si="5"/>
        <v>144 / 2633</v>
      </c>
      <c r="T7" s="1"/>
      <c r="U7" s="1"/>
      <c r="W7" s="1"/>
      <c r="X7" s="1"/>
      <c r="Y7" s="1"/>
      <c r="Z7" s="1"/>
      <c r="AA7" s="1"/>
      <c r="AB7" s="1"/>
    </row>
    <row r="8" spans="1:28">
      <c r="A8" s="107" t="s">
        <v>5</v>
      </c>
      <c r="B8" s="357">
        <v>221</v>
      </c>
      <c r="C8" s="277">
        <f t="shared" si="6"/>
        <v>2850</v>
      </c>
      <c r="D8" s="358">
        <v>3071</v>
      </c>
      <c r="E8" s="357">
        <v>141</v>
      </c>
      <c r="F8" s="277">
        <f t="shared" si="7"/>
        <v>1408</v>
      </c>
      <c r="G8" s="358">
        <v>1549</v>
      </c>
      <c r="H8" s="278">
        <v>10</v>
      </c>
      <c r="I8" s="279">
        <f t="shared" si="0"/>
        <v>30710</v>
      </c>
      <c r="J8" s="279">
        <f t="shared" si="1"/>
        <v>15490</v>
      </c>
      <c r="K8" s="279">
        <f t="shared" si="8"/>
        <v>46200</v>
      </c>
      <c r="L8" s="280">
        <f t="shared" si="2"/>
        <v>7.1963529794855097E-3</v>
      </c>
      <c r="M8" s="280">
        <f t="shared" si="3"/>
        <v>9.1026468689477079E-3</v>
      </c>
      <c r="N8" s="281">
        <v>53</v>
      </c>
      <c r="O8" s="282">
        <f t="shared" si="9"/>
        <v>244860</v>
      </c>
      <c r="P8" s="283" t="str">
        <f t="shared" si="4"/>
        <v>221 / 3071</v>
      </c>
      <c r="Q8" s="283" t="str">
        <f t="shared" si="5"/>
        <v>141 / 1549</v>
      </c>
      <c r="T8" s="1"/>
      <c r="U8" s="1"/>
      <c r="W8" s="1"/>
      <c r="X8" s="1"/>
      <c r="Y8" s="1"/>
      <c r="Z8" s="1"/>
      <c r="AA8" s="1"/>
      <c r="AB8" s="1"/>
    </row>
    <row r="9" spans="1:28">
      <c r="A9" s="107" t="s">
        <v>6</v>
      </c>
      <c r="B9" s="357">
        <v>64</v>
      </c>
      <c r="C9" s="277">
        <v>892</v>
      </c>
      <c r="D9" s="358">
        <v>892</v>
      </c>
      <c r="E9" s="357">
        <v>78</v>
      </c>
      <c r="F9" s="277">
        <f t="shared" si="7"/>
        <v>821</v>
      </c>
      <c r="G9" s="358">
        <v>899</v>
      </c>
      <c r="H9" s="278">
        <v>5.6</v>
      </c>
      <c r="I9" s="279">
        <f t="shared" si="0"/>
        <v>4995.2</v>
      </c>
      <c r="J9" s="279">
        <f t="shared" si="1"/>
        <v>5034.3999999999996</v>
      </c>
      <c r="K9" s="279">
        <f t="shared" si="8"/>
        <v>10029.599999999999</v>
      </c>
      <c r="L9" s="280">
        <f t="shared" si="2"/>
        <v>1.2812299807815503E-2</v>
      </c>
      <c r="M9" s="280">
        <f t="shared" si="3"/>
        <v>1.5493405371047196E-2</v>
      </c>
      <c r="N9" s="281">
        <v>60</v>
      </c>
      <c r="O9" s="282">
        <f t="shared" si="9"/>
        <v>107460</v>
      </c>
      <c r="P9" s="283" t="str">
        <f t="shared" si="4"/>
        <v>64 / 892</v>
      </c>
      <c r="Q9" s="283" t="str">
        <f t="shared" si="5"/>
        <v>78 / 899</v>
      </c>
      <c r="T9" s="1"/>
      <c r="U9" s="1"/>
      <c r="W9" s="1"/>
      <c r="X9" s="1"/>
      <c r="Y9" s="1"/>
      <c r="Z9" s="1"/>
      <c r="AA9" s="1"/>
      <c r="AB9" s="1"/>
    </row>
    <row r="10" spans="1:28">
      <c r="A10" s="77">
        <f>COUNT(B5:B9)</f>
        <v>5</v>
      </c>
      <c r="B10" s="359">
        <f t="shared" ref="B10:G10" si="10">SUM(B5:B9)</f>
        <v>743</v>
      </c>
      <c r="C10" s="359">
        <f t="shared" si="10"/>
        <v>16588</v>
      </c>
      <c r="D10" s="359">
        <f t="shared" si="10"/>
        <v>17267</v>
      </c>
      <c r="E10" s="359">
        <f t="shared" si="10"/>
        <v>754</v>
      </c>
      <c r="F10" s="359">
        <f t="shared" si="10"/>
        <v>15019</v>
      </c>
      <c r="G10" s="359">
        <f t="shared" si="10"/>
        <v>15773</v>
      </c>
      <c r="H10" s="284">
        <f>K10/(D10+G10)</f>
        <v>5.0105871670702173</v>
      </c>
      <c r="I10" s="285">
        <f>SUM(I5:I9)</f>
        <v>90340.599999999991</v>
      </c>
      <c r="J10" s="285">
        <f>SUM(J5:J9)</f>
        <v>75209.199999999983</v>
      </c>
      <c r="K10" s="285">
        <f>SUM(K5:K9)</f>
        <v>165549.79999999999</v>
      </c>
      <c r="L10" s="286">
        <f t="shared" si="2"/>
        <v>8.2244306546558257E-3</v>
      </c>
      <c r="M10" s="286">
        <f t="shared" si="3"/>
        <v>1.0025369236742316E-2</v>
      </c>
      <c r="N10" s="287">
        <f>O10/(D10+G10)</f>
        <v>61.981779661016951</v>
      </c>
      <c r="O10" s="288">
        <f>SUM(O5:O9)</f>
        <v>2047878</v>
      </c>
      <c r="P10" s="289" t="str">
        <f t="shared" si="4"/>
        <v>743 / 17267</v>
      </c>
      <c r="Q10" s="289" t="str">
        <f t="shared" si="5"/>
        <v>754 / 15773</v>
      </c>
      <c r="T10" s="1"/>
      <c r="U10" s="1"/>
      <c r="W10" s="1"/>
      <c r="X10" s="1"/>
      <c r="Y10" s="1"/>
      <c r="Z10" s="1"/>
      <c r="AA10" s="1"/>
      <c r="AB10" s="1"/>
    </row>
    <row r="11" spans="1:28" ht="15.75" thickBot="1">
      <c r="B11" s="2"/>
      <c r="C11" s="2"/>
      <c r="E11" s="4"/>
      <c r="F11" s="3"/>
      <c r="S11" s="39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thickBot="1">
      <c r="A12" s="1"/>
      <c r="B12" s="83" t="s">
        <v>117</v>
      </c>
      <c r="C12" s="290">
        <v>5.0232986442761585E-2</v>
      </c>
      <c r="D12" s="409" t="s">
        <v>118</v>
      </c>
      <c r="E12" s="410"/>
      <c r="F12" s="411"/>
      <c r="S12" s="39"/>
      <c r="T12" s="1"/>
      <c r="U12" s="1"/>
      <c r="V12" s="1"/>
      <c r="W12" s="1"/>
      <c r="X12" s="1"/>
      <c r="Y12" s="1"/>
      <c r="Z12" s="1"/>
      <c r="AA12" s="1"/>
      <c r="AB12" s="1"/>
    </row>
    <row r="13" spans="1:28" ht="26.25" thickBot="1">
      <c r="A13" s="291">
        <f>I40</f>
        <v>1.0025369236742316E-2</v>
      </c>
      <c r="B13" s="292" t="s">
        <v>160</v>
      </c>
      <c r="C13" s="23"/>
      <c r="D13" s="21" t="s">
        <v>119</v>
      </c>
      <c r="E13" s="22" t="s">
        <v>161</v>
      </c>
      <c r="F13" s="21" t="s">
        <v>162</v>
      </c>
      <c r="S13" s="39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thickBot="1">
      <c r="A14" s="293">
        <f>E40</f>
        <v>5.0105871670702173</v>
      </c>
      <c r="B14" s="294" t="s">
        <v>163</v>
      </c>
      <c r="C14" s="23"/>
      <c r="D14" s="295">
        <v>0.84</v>
      </c>
      <c r="E14" s="296">
        <v>0.76</v>
      </c>
      <c r="F14" s="297">
        <v>0.93</v>
      </c>
      <c r="G14" s="23" t="s">
        <v>61</v>
      </c>
      <c r="S14" s="39"/>
      <c r="T14" s="1"/>
      <c r="U14" s="1"/>
      <c r="V14" s="1"/>
      <c r="W14" s="1"/>
      <c r="X14" s="1"/>
      <c r="Y14" s="1"/>
      <c r="Z14" s="1"/>
      <c r="AA14" s="1"/>
      <c r="AB14" s="1"/>
    </row>
    <row r="15" spans="1:28" ht="15" hidden="1">
      <c r="A15" s="85"/>
      <c r="B15" s="84"/>
      <c r="C15" s="1"/>
      <c r="D15" s="1"/>
      <c r="E15" s="1"/>
      <c r="F15" s="1"/>
      <c r="G15" s="1"/>
      <c r="S15" s="39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hidden="1" thickBot="1">
      <c r="A16" s="85"/>
      <c r="B16" s="86"/>
      <c r="C16" s="24"/>
      <c r="D16" s="87">
        <f>C12*D14</f>
        <v>4.2195708611919729E-2</v>
      </c>
      <c r="E16" s="88">
        <f>C12*E14</f>
        <v>3.8177069696498804E-2</v>
      </c>
      <c r="F16" s="25">
        <f>C12*F14</f>
        <v>4.6716677391768276E-2</v>
      </c>
      <c r="G16" s="1"/>
      <c r="S16" s="39"/>
      <c r="T16" s="1"/>
      <c r="U16" s="1"/>
      <c r="V16" s="1"/>
      <c r="W16" s="1"/>
      <c r="X16" s="1"/>
      <c r="Y16" s="1"/>
      <c r="Z16" s="1"/>
      <c r="AA16" s="1"/>
      <c r="AB16" s="1"/>
    </row>
    <row r="17" spans="1:28" ht="15" hidden="1">
      <c r="A17" s="85"/>
      <c r="B17" s="84"/>
      <c r="C17" s="1"/>
      <c r="D17" s="1"/>
      <c r="E17" s="1"/>
      <c r="F17" s="1"/>
      <c r="G17" s="1"/>
      <c r="S17" s="39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hidden="1" thickBot="1">
      <c r="A18" s="85"/>
      <c r="B18" s="89"/>
      <c r="C18" s="90" t="s">
        <v>9</v>
      </c>
      <c r="D18" s="91">
        <f>C12-D16</f>
        <v>8.037277830841856E-3</v>
      </c>
      <c r="E18" s="92">
        <f>C12-F16</f>
        <v>3.516309050993309E-3</v>
      </c>
      <c r="F18" s="93">
        <f>C12-E16</f>
        <v>1.2055916746262781E-2</v>
      </c>
      <c r="G18" s="1"/>
      <c r="S18" s="39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hidden="1" thickBot="1">
      <c r="A19" s="85"/>
      <c r="B19" s="94"/>
      <c r="C19" s="95" t="s">
        <v>10</v>
      </c>
      <c r="D19" s="96">
        <f>1/D18</f>
        <v>124.42023543875129</v>
      </c>
      <c r="E19" s="97">
        <f>1/F18</f>
        <v>82.946823625834213</v>
      </c>
      <c r="F19" s="98">
        <f>1/E18</f>
        <v>284.38910957428891</v>
      </c>
      <c r="G19" s="1"/>
      <c r="S19" s="39"/>
      <c r="T19" s="1"/>
      <c r="U19" s="1"/>
      <c r="V19" s="1"/>
      <c r="W19" s="1"/>
      <c r="X19" s="1"/>
      <c r="Y19" s="1"/>
      <c r="Z19" s="1"/>
      <c r="AA19" s="1"/>
      <c r="AB19" s="1"/>
    </row>
    <row r="20" spans="1:28" ht="15" hidden="1">
      <c r="A20" s="85"/>
      <c r="B20" s="84"/>
      <c r="C20" s="23"/>
      <c r="D20" s="23"/>
      <c r="E20" s="23"/>
      <c r="F20" s="23"/>
      <c r="G20" s="1"/>
      <c r="S20" s="39"/>
      <c r="T20" s="1"/>
      <c r="U20" s="1"/>
      <c r="V20" s="1"/>
      <c r="W20" s="1"/>
      <c r="X20" s="1"/>
      <c r="Y20" s="1"/>
      <c r="Z20" s="1"/>
      <c r="AA20" s="1"/>
      <c r="AB20" s="1"/>
    </row>
    <row r="21" spans="1:28" ht="15" hidden="1">
      <c r="A21" s="85"/>
      <c r="B21" s="99" t="s">
        <v>120</v>
      </c>
      <c r="C21" s="27"/>
      <c r="D21" s="27"/>
      <c r="E21" s="28">
        <f>ROUND(D14,2)</f>
        <v>0.84</v>
      </c>
      <c r="F21" s="29">
        <f>ROUND(D18,4)</f>
        <v>8.0000000000000002E-3</v>
      </c>
      <c r="G21" s="30">
        <f>ROUND(D19,0)</f>
        <v>124</v>
      </c>
      <c r="S21" s="39"/>
      <c r="T21" s="1"/>
      <c r="U21" s="1"/>
      <c r="V21" s="1"/>
      <c r="W21" s="1"/>
      <c r="X21" s="1"/>
      <c r="Y21" s="1"/>
      <c r="Z21" s="1"/>
      <c r="AA21" s="1"/>
      <c r="AB21" s="1"/>
    </row>
    <row r="22" spans="1:28" ht="15" hidden="1">
      <c r="A22" s="85"/>
      <c r="B22" s="100" t="s">
        <v>121</v>
      </c>
      <c r="C22" s="101">
        <f>ROUND(D16,4)</f>
        <v>4.2200000000000001E-2</v>
      </c>
      <c r="D22" s="31">
        <f>ROUND(C12,4)</f>
        <v>5.0200000000000002E-2</v>
      </c>
      <c r="E22" s="32">
        <f>ROUND(E14,2)</f>
        <v>0.76</v>
      </c>
      <c r="F22" s="33">
        <f>ROUND(E18,4)</f>
        <v>3.5000000000000001E-3</v>
      </c>
      <c r="G22" s="34">
        <f>ROUND(E19,0)</f>
        <v>83</v>
      </c>
      <c r="S22" s="39"/>
      <c r="T22" s="1"/>
      <c r="U22" s="1"/>
      <c r="V22" s="1"/>
      <c r="W22" s="1"/>
      <c r="X22" s="1"/>
      <c r="Y22" s="1"/>
      <c r="Z22" s="1"/>
      <c r="AA22" s="1"/>
      <c r="AB22" s="1"/>
    </row>
    <row r="23" spans="1:28" ht="15" hidden="1">
      <c r="A23" s="85"/>
      <c r="B23" s="100" t="s">
        <v>122</v>
      </c>
      <c r="C23" s="35"/>
      <c r="D23" s="35"/>
      <c r="E23" s="32">
        <f>ROUND(F14,2)</f>
        <v>0.93</v>
      </c>
      <c r="F23" s="33">
        <f>ROUND(F18,4)</f>
        <v>1.21E-2</v>
      </c>
      <c r="G23" s="34">
        <f>ROUND(F19,0)</f>
        <v>284</v>
      </c>
      <c r="S23" s="39"/>
      <c r="T23" s="1"/>
      <c r="U23" s="1"/>
      <c r="V23" s="1"/>
      <c r="W23" s="1"/>
      <c r="X23" s="1"/>
      <c r="Y23" s="1"/>
      <c r="Z23" s="1"/>
      <c r="AA23" s="1"/>
      <c r="AB23" s="1"/>
    </row>
    <row r="24" spans="1:28" ht="15" hidden="1">
      <c r="A24" s="85"/>
      <c r="B24" s="100" t="s">
        <v>123</v>
      </c>
      <c r="C24" s="36" t="s">
        <v>164</v>
      </c>
      <c r="D24" s="36" t="s">
        <v>124</v>
      </c>
      <c r="E24" s="37" t="s">
        <v>125</v>
      </c>
      <c r="F24" s="37" t="s">
        <v>126</v>
      </c>
      <c r="G24" s="36" t="s">
        <v>10</v>
      </c>
      <c r="S24" s="39"/>
      <c r="T24" s="1"/>
      <c r="U24" s="1"/>
      <c r="V24" s="1"/>
      <c r="W24" s="1"/>
      <c r="X24" s="1"/>
      <c r="Y24" s="1"/>
      <c r="Z24" s="1"/>
      <c r="AA24" s="1"/>
      <c r="AB24" s="1"/>
    </row>
    <row r="25" spans="1:28" ht="15" hidden="1">
      <c r="A25" s="85"/>
      <c r="B25" s="102" t="s">
        <v>127</v>
      </c>
      <c r="C25" s="36" t="str">
        <f>CONCATENATE(C22*100,B24)</f>
        <v>4,22%</v>
      </c>
      <c r="D25" s="36" t="str">
        <f>CONCATENATE(D22*100,B24)</f>
        <v>5,02%</v>
      </c>
      <c r="E25" s="36" t="str">
        <f>CONCATENATE(E21," ",B21,E22,B22,E23,B23)</f>
        <v>0,84 (0,76-0,93)</v>
      </c>
      <c r="F25" s="36" t="str">
        <f>CONCATENATE(F21*100,B24," ",B21,F22*100,B24," ",B25," ",F23*100,B24,B23)</f>
        <v>0,8% (0,35% a 1,21%)</v>
      </c>
      <c r="G25" s="36" t="str">
        <f>CONCATENATE(G21," ",B21,G22," ",B25," ",G23,B23)</f>
        <v>124 (83 a 284)</v>
      </c>
      <c r="S25" s="39"/>
      <c r="T25" s="1"/>
      <c r="U25" s="1"/>
      <c r="V25" s="1"/>
      <c r="W25" s="1"/>
      <c r="X25" s="1"/>
      <c r="Y25" s="1"/>
      <c r="Z25" s="1"/>
      <c r="AA25" s="1"/>
      <c r="AB25" s="1"/>
    </row>
    <row r="26" spans="1:28" ht="15" hidden="1">
      <c r="A26" s="103"/>
      <c r="B26" s="79"/>
      <c r="C26" s="16"/>
      <c r="D26" s="16"/>
      <c r="E26" s="16"/>
      <c r="F26" s="16"/>
      <c r="G26" s="16"/>
      <c r="S26" s="39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thickBot="1">
      <c r="A27" s="291">
        <f>A13*A14</f>
        <v>5.0232986442761585E-2</v>
      </c>
      <c r="B27" s="292" t="s">
        <v>165</v>
      </c>
      <c r="C27" s="1"/>
      <c r="D27" s="1"/>
      <c r="E27" s="1"/>
      <c r="F27" s="1"/>
      <c r="G27" s="1"/>
      <c r="S27" s="39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thickBot="1">
      <c r="A28" s="104"/>
      <c r="B28" s="1"/>
      <c r="C28" s="298" t="s">
        <v>166</v>
      </c>
      <c r="D28" s="299" t="s">
        <v>124</v>
      </c>
      <c r="E28" s="299" t="s">
        <v>125</v>
      </c>
      <c r="F28" s="299" t="s">
        <v>9</v>
      </c>
      <c r="G28" s="300" t="s">
        <v>10</v>
      </c>
      <c r="S28" s="39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thickBot="1">
      <c r="A29" s="105"/>
      <c r="B29" s="38"/>
      <c r="C29" s="301" t="str">
        <f>C25</f>
        <v>4,22%</v>
      </c>
      <c r="D29" s="302" t="str">
        <f>D25</f>
        <v>5,02%</v>
      </c>
      <c r="E29" s="302" t="str">
        <f>E25</f>
        <v>0,84 (0,76-0,93)</v>
      </c>
      <c r="F29" s="302" t="str">
        <f>F25</f>
        <v>0,8% (0,35% a 1,21%)</v>
      </c>
      <c r="G29" s="303" t="str">
        <f>G25</f>
        <v>124 (83 a 284)</v>
      </c>
      <c r="S29" s="39"/>
      <c r="T29" s="1"/>
      <c r="U29" s="1"/>
      <c r="V29" s="1"/>
      <c r="W29" s="1"/>
      <c r="X29" s="1"/>
      <c r="Y29" s="1"/>
      <c r="Z29" s="1"/>
      <c r="AA29" s="1"/>
      <c r="AB29" s="1"/>
    </row>
    <row r="30" spans="1:28" ht="15">
      <c r="B30" s="2"/>
      <c r="C30" s="2"/>
      <c r="E30" s="4"/>
      <c r="F30" s="3"/>
      <c r="S30" s="39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thickBot="1">
      <c r="D31" s="4"/>
      <c r="E31" s="4"/>
      <c r="S31" s="39"/>
      <c r="T31" s="1"/>
      <c r="U31" s="1"/>
      <c r="V31" s="1"/>
      <c r="W31" s="1"/>
      <c r="X31" s="1"/>
      <c r="Y31" s="1"/>
      <c r="Z31" s="1"/>
      <c r="AA31" s="1"/>
      <c r="AB31" s="1"/>
    </row>
    <row r="32" spans="1:28" ht="22.5" customHeight="1" thickBot="1">
      <c r="A32" s="369" t="s">
        <v>261</v>
      </c>
      <c r="B32" s="304" t="str">
        <f>B2</f>
        <v>IAM no fatal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6"/>
      <c r="S32" s="39"/>
      <c r="T32" s="1"/>
      <c r="U32" s="1"/>
    </row>
    <row r="33" spans="1:256" ht="36" customHeight="1" thickBot="1">
      <c r="A33" s="397" t="s">
        <v>135</v>
      </c>
      <c r="B33" s="397" t="s">
        <v>136</v>
      </c>
      <c r="C33" s="401" t="s">
        <v>7</v>
      </c>
      <c r="D33" s="403" t="s">
        <v>137</v>
      </c>
      <c r="E33" s="397" t="s">
        <v>138</v>
      </c>
      <c r="F33" s="397" t="s">
        <v>242</v>
      </c>
      <c r="G33" s="397" t="s">
        <v>243</v>
      </c>
      <c r="H33" s="397" t="s">
        <v>244</v>
      </c>
      <c r="I33" s="397" t="s">
        <v>245</v>
      </c>
      <c r="J33" s="397" t="s">
        <v>139</v>
      </c>
      <c r="K33" s="399" t="s">
        <v>140</v>
      </c>
      <c r="L33" s="386" t="s">
        <v>141</v>
      </c>
      <c r="M33" s="387"/>
      <c r="N33" s="387"/>
      <c r="O33" s="388"/>
      <c r="S33" s="39"/>
      <c r="T33" s="1"/>
      <c r="U33" s="1"/>
    </row>
    <row r="34" spans="1:256" ht="43.5" customHeight="1" thickBot="1">
      <c r="A34" s="398"/>
      <c r="B34" s="398"/>
      <c r="C34" s="402"/>
      <c r="D34" s="404"/>
      <c r="E34" s="398"/>
      <c r="F34" s="398"/>
      <c r="G34" s="398"/>
      <c r="H34" s="398"/>
      <c r="I34" s="398"/>
      <c r="J34" s="398"/>
      <c r="K34" s="400"/>
      <c r="L34" s="307" t="s">
        <v>8</v>
      </c>
      <c r="M34" s="308" t="s">
        <v>9</v>
      </c>
      <c r="N34" s="309" t="s">
        <v>10</v>
      </c>
      <c r="O34" s="310" t="s">
        <v>142</v>
      </c>
      <c r="S34" s="39"/>
      <c r="T34" s="1"/>
      <c r="U34" s="1"/>
    </row>
    <row r="35" spans="1:256" ht="24.75" customHeight="1">
      <c r="A35" s="389">
        <v>9</v>
      </c>
      <c r="B35" s="311" t="str">
        <f>A5</f>
        <v>ACCORD 2008, 3,8y</v>
      </c>
      <c r="C35" s="312" t="s">
        <v>11</v>
      </c>
      <c r="D35" s="313"/>
      <c r="E35" s="314">
        <f t="shared" ref="E35:E40" si="11">H5</f>
        <v>3.8</v>
      </c>
      <c r="F35" s="315" t="str">
        <f t="shared" ref="F35:F40" si="12">P5</f>
        <v>186 / 5128</v>
      </c>
      <c r="G35" s="316">
        <f t="shared" ref="G35:G40" si="13">L5</f>
        <v>9.5451186468511386E-3</v>
      </c>
      <c r="H35" s="315" t="str">
        <f t="shared" ref="H35:H40" si="14">Q5</f>
        <v>235 / 5123</v>
      </c>
      <c r="I35" s="317">
        <f t="shared" ref="I35:J40" si="15">M5</f>
        <v>1.2071463061323034E-2</v>
      </c>
      <c r="J35" s="318">
        <f t="shared" si="15"/>
        <v>62</v>
      </c>
      <c r="K35" s="6">
        <v>0.27900000000000003</v>
      </c>
      <c r="L35" s="5" t="s">
        <v>46</v>
      </c>
      <c r="M35" s="5" t="s">
        <v>47</v>
      </c>
      <c r="N35" s="17" t="s">
        <v>48</v>
      </c>
      <c r="O35" s="42" t="s">
        <v>115</v>
      </c>
      <c r="P35" s="40"/>
      <c r="Q35" s="43">
        <v>3</v>
      </c>
      <c r="R35" s="44">
        <f>Q35*K35</f>
        <v>0.83700000000000008</v>
      </c>
      <c r="S35" s="39"/>
      <c r="T35" s="1"/>
      <c r="U35" s="1"/>
    </row>
    <row r="36" spans="1:256" ht="24.75" customHeight="1">
      <c r="A36" s="390"/>
      <c r="B36" s="311" t="str">
        <f>A6</f>
        <v>ADVANCE 2008, 5y</v>
      </c>
      <c r="C36" s="312" t="s">
        <v>11</v>
      </c>
      <c r="D36" s="313"/>
      <c r="E36" s="314">
        <f t="shared" si="11"/>
        <v>5</v>
      </c>
      <c r="F36" s="315" t="str">
        <f t="shared" si="12"/>
        <v>153 / 5571</v>
      </c>
      <c r="G36" s="316">
        <f t="shared" si="13"/>
        <v>5.492730210016155E-3</v>
      </c>
      <c r="H36" s="315" t="str">
        <f t="shared" si="14"/>
        <v>156 / 5569</v>
      </c>
      <c r="I36" s="316">
        <f t="shared" si="15"/>
        <v>5.6024420901418567E-3</v>
      </c>
      <c r="J36" s="318">
        <f t="shared" si="15"/>
        <v>66</v>
      </c>
      <c r="K36" s="6">
        <v>0.20499999999999999</v>
      </c>
      <c r="L36" s="5" t="s">
        <v>49</v>
      </c>
      <c r="M36" s="5" t="s">
        <v>50</v>
      </c>
      <c r="N36" s="5" t="s">
        <v>51</v>
      </c>
      <c r="O36" s="45" t="s">
        <v>116</v>
      </c>
      <c r="P36" s="40"/>
      <c r="Q36" s="43">
        <v>3.5</v>
      </c>
      <c r="R36" s="44">
        <f t="shared" ref="R36:R39" si="16">Q36*K36</f>
        <v>0.71749999999999992</v>
      </c>
      <c r="S36" s="39"/>
      <c r="T36" s="1"/>
      <c r="U36" s="1"/>
    </row>
    <row r="37" spans="1:256" ht="24.75" customHeight="1">
      <c r="A37" s="390"/>
      <c r="B37" s="311" t="str">
        <f>A7</f>
        <v>PROactive 2005, 2,8y</v>
      </c>
      <c r="C37" s="312" t="s">
        <v>11</v>
      </c>
      <c r="D37" s="313"/>
      <c r="E37" s="314">
        <f t="shared" si="11"/>
        <v>2.8</v>
      </c>
      <c r="F37" s="315" t="str">
        <f t="shared" si="12"/>
        <v>119 / 2605</v>
      </c>
      <c r="G37" s="316">
        <f t="shared" si="13"/>
        <v>1.6314779270633399E-2</v>
      </c>
      <c r="H37" s="315" t="str">
        <f t="shared" si="14"/>
        <v>144 / 2633</v>
      </c>
      <c r="I37" s="316">
        <f t="shared" si="15"/>
        <v>1.9532309695621509E-2</v>
      </c>
      <c r="J37" s="318">
        <f t="shared" si="15"/>
        <v>62</v>
      </c>
      <c r="K37" s="6">
        <v>0.17699999999999999</v>
      </c>
      <c r="L37" s="5" t="s">
        <v>52</v>
      </c>
      <c r="M37" s="5" t="s">
        <v>53</v>
      </c>
      <c r="N37" s="5" t="s">
        <v>54</v>
      </c>
      <c r="O37" s="45" t="s">
        <v>116</v>
      </c>
      <c r="P37" s="40"/>
      <c r="Q37" s="43">
        <v>3.5</v>
      </c>
      <c r="R37" s="44">
        <f t="shared" si="16"/>
        <v>0.61949999999999994</v>
      </c>
      <c r="S37" s="39"/>
      <c r="T37" s="1"/>
      <c r="U37" s="1"/>
    </row>
    <row r="38" spans="1:256" ht="24.75" customHeight="1">
      <c r="A38" s="390"/>
      <c r="B38" s="311" t="str">
        <f>A8</f>
        <v>UKPDS 1998, 10y</v>
      </c>
      <c r="C38" s="312" t="s">
        <v>11</v>
      </c>
      <c r="D38" s="313"/>
      <c r="E38" s="314">
        <f t="shared" si="11"/>
        <v>10</v>
      </c>
      <c r="F38" s="315" t="str">
        <f t="shared" si="12"/>
        <v>221 / 3071</v>
      </c>
      <c r="G38" s="316">
        <f t="shared" si="13"/>
        <v>7.1963529794855097E-3</v>
      </c>
      <c r="H38" s="315" t="str">
        <f t="shared" si="14"/>
        <v>141 / 1549</v>
      </c>
      <c r="I38" s="316">
        <f t="shared" si="15"/>
        <v>9.1026468689477079E-3</v>
      </c>
      <c r="J38" s="318">
        <f t="shared" si="15"/>
        <v>53</v>
      </c>
      <c r="K38" s="6">
        <v>0.24199999999999999</v>
      </c>
      <c r="L38" s="5" t="s">
        <v>55</v>
      </c>
      <c r="M38" s="5" t="s">
        <v>56</v>
      </c>
      <c r="N38" s="17" t="s">
        <v>57</v>
      </c>
      <c r="O38" s="45" t="s">
        <v>115</v>
      </c>
      <c r="P38" s="40"/>
      <c r="Q38" s="43">
        <v>3</v>
      </c>
      <c r="R38" s="44">
        <f t="shared" si="16"/>
        <v>0.72599999999999998</v>
      </c>
      <c r="S38" s="39"/>
      <c r="T38" s="1"/>
      <c r="U38" s="1"/>
    </row>
    <row r="39" spans="1:256" ht="24.75" customHeight="1" thickBot="1">
      <c r="A39" s="391"/>
      <c r="B39" s="311" t="str">
        <f>A9</f>
        <v>VADT 2009, 5,6y</v>
      </c>
      <c r="C39" s="312" t="s">
        <v>11</v>
      </c>
      <c r="D39" s="313"/>
      <c r="E39" s="314">
        <f t="shared" si="11"/>
        <v>5.6</v>
      </c>
      <c r="F39" s="315" t="str">
        <f t="shared" si="12"/>
        <v>64 / 892</v>
      </c>
      <c r="G39" s="316">
        <f t="shared" si="13"/>
        <v>1.2812299807815503E-2</v>
      </c>
      <c r="H39" s="315" t="str">
        <f t="shared" si="14"/>
        <v>78 / 899</v>
      </c>
      <c r="I39" s="316">
        <f t="shared" si="15"/>
        <v>1.5493405371047196E-2</v>
      </c>
      <c r="J39" s="318">
        <f t="shared" si="15"/>
        <v>60</v>
      </c>
      <c r="K39" s="6">
        <v>9.8000000000000004E-2</v>
      </c>
      <c r="L39" s="5" t="s">
        <v>58</v>
      </c>
      <c r="M39" s="5" t="s">
        <v>59</v>
      </c>
      <c r="N39" s="5" t="s">
        <v>60</v>
      </c>
      <c r="O39" s="45" t="s">
        <v>116</v>
      </c>
      <c r="P39" s="40"/>
      <c r="Q39" s="43">
        <v>3.5</v>
      </c>
      <c r="R39" s="44">
        <f t="shared" si="16"/>
        <v>0.34300000000000003</v>
      </c>
      <c r="S39" s="39"/>
      <c r="T39" s="1"/>
      <c r="U39" s="1"/>
    </row>
    <row r="40" spans="1:256" ht="24" customHeight="1" thickBot="1">
      <c r="A40" s="319" t="s">
        <v>143</v>
      </c>
      <c r="B40" s="320">
        <f>COUNT(E35:E39)</f>
        <v>5</v>
      </c>
      <c r="C40" s="321"/>
      <c r="D40" s="108" t="s">
        <v>167</v>
      </c>
      <c r="E40" s="322">
        <f t="shared" si="11"/>
        <v>5.0105871670702173</v>
      </c>
      <c r="F40" s="323" t="str">
        <f t="shared" si="12"/>
        <v>743 / 17267</v>
      </c>
      <c r="G40" s="324">
        <f t="shared" si="13"/>
        <v>8.2244306546558257E-3</v>
      </c>
      <c r="H40" s="323" t="str">
        <f t="shared" si="14"/>
        <v>754 / 15773</v>
      </c>
      <c r="I40" s="324">
        <f t="shared" si="15"/>
        <v>1.0025369236742316E-2</v>
      </c>
      <c r="J40" s="322">
        <f t="shared" si="15"/>
        <v>61.981779661016951</v>
      </c>
      <c r="K40" s="6">
        <v>1</v>
      </c>
      <c r="L40" s="18" t="s">
        <v>61</v>
      </c>
      <c r="M40" s="9"/>
      <c r="N40" s="9"/>
      <c r="O40" s="48" t="s">
        <v>116</v>
      </c>
      <c r="P40" s="40"/>
      <c r="Q40" s="40"/>
      <c r="R40" s="49">
        <f>SUM(R35:R39)</f>
        <v>3.2429999999999999</v>
      </c>
      <c r="S40" s="39"/>
      <c r="T40" s="1"/>
      <c r="U40" s="1"/>
    </row>
    <row r="41" spans="1:256" ht="13.5" thickBot="1">
      <c r="A41" s="325"/>
      <c r="B41" s="325"/>
      <c r="C41" s="326"/>
      <c r="D41" s="327"/>
      <c r="E41" s="328"/>
      <c r="F41" s="329"/>
      <c r="G41" s="330"/>
      <c r="H41" s="329"/>
      <c r="I41" s="331"/>
      <c r="J41" s="332"/>
      <c r="K41" s="50"/>
      <c r="L41" s="46"/>
      <c r="M41" s="47"/>
      <c r="N41" s="47"/>
      <c r="O41" s="50"/>
      <c r="P41" s="40"/>
      <c r="Q41" s="40"/>
      <c r="R41" s="40"/>
    </row>
    <row r="42" spans="1:256" ht="48" thickBot="1">
      <c r="A42" s="334"/>
      <c r="B42" s="392" t="s">
        <v>246</v>
      </c>
      <c r="C42" s="393"/>
      <c r="D42" s="393"/>
      <c r="E42" s="393"/>
      <c r="F42" s="393"/>
      <c r="G42" s="393"/>
      <c r="H42" s="393"/>
      <c r="I42" s="394"/>
      <c r="J42" s="51" t="s">
        <v>144</v>
      </c>
      <c r="K42" s="52" t="s">
        <v>145</v>
      </c>
      <c r="L42" s="53" t="s">
        <v>8</v>
      </c>
      <c r="M42" s="54" t="s">
        <v>9</v>
      </c>
      <c r="N42" s="55" t="s">
        <v>10</v>
      </c>
      <c r="O42" s="47"/>
      <c r="P42" s="41"/>
      <c r="Q42" s="41"/>
      <c r="R42" s="41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30" customHeight="1">
      <c r="A43" s="395" t="s">
        <v>146</v>
      </c>
      <c r="B43" s="335" t="s">
        <v>147</v>
      </c>
      <c r="C43" s="336">
        <f>I40</f>
        <v>1.0025369236742316E-2</v>
      </c>
      <c r="D43" s="337" t="s">
        <v>148</v>
      </c>
      <c r="E43" s="337"/>
      <c r="F43" s="337"/>
      <c r="G43" s="337"/>
      <c r="H43" s="338">
        <f>J40</f>
        <v>61.981779661016951</v>
      </c>
      <c r="I43" s="339" t="s">
        <v>149</v>
      </c>
      <c r="J43" s="56" t="s">
        <v>168</v>
      </c>
      <c r="K43" s="57" t="s">
        <v>169</v>
      </c>
      <c r="L43" s="109" t="s">
        <v>61</v>
      </c>
      <c r="M43" s="58" t="s">
        <v>62</v>
      </c>
      <c r="N43" s="111" t="s">
        <v>112</v>
      </c>
      <c r="O43" s="59" t="s">
        <v>150</v>
      </c>
      <c r="P43" s="40"/>
      <c r="Q43" s="40"/>
      <c r="R43" s="40"/>
    </row>
    <row r="44" spans="1:256" ht="30" customHeight="1" thickBot="1">
      <c r="A44" s="396"/>
      <c r="B44" s="341" t="s">
        <v>147</v>
      </c>
      <c r="C44" s="342">
        <f>I40*E40</f>
        <v>5.0232986442761585E-2</v>
      </c>
      <c r="D44" s="343" t="s">
        <v>151</v>
      </c>
      <c r="E44" s="344"/>
      <c r="F44" s="345"/>
      <c r="G44" s="346">
        <f>E40</f>
        <v>5.0105871670702173</v>
      </c>
      <c r="H44" s="343" t="s">
        <v>2</v>
      </c>
      <c r="I44" s="347"/>
      <c r="J44" s="60" t="s">
        <v>171</v>
      </c>
      <c r="K44" s="61" t="s">
        <v>172</v>
      </c>
      <c r="L44" s="110" t="s">
        <v>61</v>
      </c>
      <c r="M44" s="62" t="s">
        <v>113</v>
      </c>
      <c r="N44" s="112" t="s">
        <v>114</v>
      </c>
      <c r="O44" s="63" t="s">
        <v>170</v>
      </c>
      <c r="P44" s="40"/>
      <c r="Q44" s="40"/>
      <c r="R44" s="40"/>
    </row>
    <row r="45" spans="1:256" ht="19.5" thickBot="1">
      <c r="A45" s="348"/>
      <c r="B45" s="349"/>
      <c r="C45" s="350"/>
      <c r="D45" s="351"/>
      <c r="E45" s="352"/>
      <c r="F45" s="353"/>
      <c r="G45" s="354"/>
      <c r="H45" s="351"/>
      <c r="I45" s="353"/>
      <c r="J45" s="64"/>
      <c r="K45" s="64"/>
      <c r="L45" s="65"/>
      <c r="M45" s="66"/>
      <c r="N45" s="66"/>
      <c r="O45" s="67"/>
      <c r="P45" s="40"/>
      <c r="Q45" s="40"/>
      <c r="R45" s="40"/>
    </row>
    <row r="46" spans="1:256" ht="19.5" thickBot="1">
      <c r="A46" s="355"/>
      <c r="B46" s="355"/>
      <c r="C46" s="333"/>
      <c r="D46" s="333"/>
      <c r="E46" s="333"/>
      <c r="F46" s="333"/>
      <c r="G46" s="333"/>
      <c r="H46" s="333"/>
      <c r="I46" s="356"/>
      <c r="J46" s="361"/>
      <c r="K46" s="362" t="s">
        <v>152</v>
      </c>
      <c r="L46" s="247" t="s">
        <v>206</v>
      </c>
      <c r="M46" s="68"/>
      <c r="N46" s="69"/>
      <c r="O46" s="70"/>
      <c r="P46" s="40"/>
      <c r="Q46" s="40"/>
      <c r="R46" s="40"/>
    </row>
    <row r="47" spans="1:256">
      <c r="A47" s="355"/>
      <c r="B47" s="355"/>
      <c r="C47" s="333"/>
      <c r="D47" s="333"/>
      <c r="E47" s="333"/>
      <c r="F47" s="333"/>
      <c r="G47" s="333"/>
      <c r="H47" s="333"/>
      <c r="I47" s="370" t="s">
        <v>153</v>
      </c>
      <c r="J47" s="363">
        <f>E40</f>
        <v>5.0105871670702173</v>
      </c>
      <c r="K47" s="363">
        <f>E40</f>
        <v>5.0105871670702173</v>
      </c>
      <c r="L47" s="50"/>
      <c r="M47" s="50"/>
      <c r="N47" s="50"/>
      <c r="O47" s="50"/>
      <c r="P47" s="40"/>
      <c r="Q47" s="40"/>
      <c r="R47" s="40"/>
    </row>
    <row r="48" spans="1:256" ht="19.5" customHeight="1">
      <c r="A48" s="355"/>
      <c r="B48" s="355"/>
      <c r="C48" s="333"/>
      <c r="D48" s="333"/>
      <c r="E48" s="333"/>
      <c r="F48" s="333"/>
      <c r="G48" s="333"/>
      <c r="H48" s="333"/>
      <c r="I48" s="371"/>
      <c r="J48" s="372" t="s">
        <v>0</v>
      </c>
      <c r="K48" s="372" t="s">
        <v>132</v>
      </c>
      <c r="L48" s="372" t="s">
        <v>237</v>
      </c>
      <c r="M48" s="50"/>
      <c r="N48" s="50"/>
      <c r="O48" s="50"/>
      <c r="P48" s="40"/>
      <c r="Q48" s="40"/>
      <c r="R48" s="40"/>
    </row>
    <row r="49" spans="1:18" ht="19.5" customHeight="1">
      <c r="A49" s="333"/>
      <c r="B49" s="355"/>
      <c r="C49" s="355"/>
      <c r="D49" s="333"/>
      <c r="E49" s="333"/>
      <c r="F49" s="333"/>
      <c r="G49" s="333"/>
      <c r="H49" s="333"/>
      <c r="I49" s="373" t="s">
        <v>154</v>
      </c>
      <c r="J49" s="377">
        <f>J43*1000*J47</f>
        <v>42.088932203389831</v>
      </c>
      <c r="K49" s="378">
        <f>K43*1000*K47</f>
        <v>50.105871670702172</v>
      </c>
      <c r="L49" s="375">
        <f>((J49*I10)+(K49*J10))/K10</f>
        <v>45.731024213075052</v>
      </c>
      <c r="M49" s="50"/>
      <c r="N49" s="50"/>
      <c r="O49" s="50"/>
      <c r="P49" s="40"/>
      <c r="Q49" s="40"/>
      <c r="R49" s="40"/>
    </row>
    <row r="50" spans="1:18">
      <c r="A50" s="1"/>
      <c r="B50" s="1"/>
      <c r="C50" s="1"/>
      <c r="D50" s="1"/>
      <c r="E50" s="1"/>
      <c r="F50" s="1"/>
      <c r="G50" s="1"/>
    </row>
    <row r="51" spans="1:18">
      <c r="A51" s="1"/>
      <c r="B51" s="1"/>
      <c r="C51" s="1"/>
      <c r="D51" s="1"/>
      <c r="E51" s="1"/>
      <c r="F51" s="1"/>
      <c r="G51" s="1"/>
    </row>
    <row r="52" spans="1:18">
      <c r="A52" s="1"/>
      <c r="B52" s="1"/>
      <c r="C52" s="1"/>
      <c r="D52" s="1"/>
      <c r="E52" s="1"/>
      <c r="F52" s="1"/>
      <c r="G52" s="1"/>
    </row>
    <row r="53" spans="1:18">
      <c r="A53" s="1"/>
      <c r="B53" s="1"/>
      <c r="C53" s="1"/>
      <c r="D53" s="1"/>
      <c r="E53" s="1"/>
      <c r="F53" s="1"/>
      <c r="G53" s="1"/>
    </row>
    <row r="54" spans="1:18">
      <c r="A54" s="1"/>
      <c r="B54" s="1"/>
      <c r="C54" s="1"/>
      <c r="D54" s="1"/>
      <c r="E54" s="1"/>
      <c r="F54" s="1"/>
      <c r="G54" s="1"/>
    </row>
    <row r="55" spans="1:18">
      <c r="A55" s="1"/>
      <c r="B55" s="1"/>
      <c r="C55" s="1"/>
      <c r="D55" s="1"/>
      <c r="E55" s="1"/>
      <c r="F55" s="1"/>
      <c r="G55" s="1"/>
    </row>
    <row r="56" spans="1:18">
      <c r="A56" s="1"/>
      <c r="B56" s="1"/>
      <c r="C56" s="1"/>
      <c r="D56" s="1"/>
      <c r="E56" s="1"/>
      <c r="F56" s="1"/>
      <c r="G56" s="1"/>
    </row>
    <row r="57" spans="1:18">
      <c r="A57" s="1"/>
      <c r="B57" s="1"/>
      <c r="C57" s="1"/>
      <c r="D57" s="1"/>
      <c r="E57" s="1"/>
      <c r="F57" s="1"/>
      <c r="G57" s="1"/>
    </row>
    <row r="58" spans="1:18">
      <c r="A58" s="1"/>
      <c r="B58" s="1"/>
      <c r="C58" s="1"/>
      <c r="D58" s="1"/>
      <c r="E58" s="1"/>
      <c r="F58" s="1"/>
      <c r="G58" s="1"/>
    </row>
    <row r="59" spans="1:18">
      <c r="A59" s="1"/>
      <c r="B59" s="1"/>
      <c r="C59" s="1"/>
      <c r="D59" s="1"/>
      <c r="E59" s="1"/>
      <c r="F59" s="1"/>
      <c r="G59" s="1"/>
    </row>
    <row r="60" spans="1:18">
      <c r="A60" s="1"/>
      <c r="B60" s="1"/>
      <c r="C60" s="1"/>
      <c r="D60" s="1"/>
      <c r="E60" s="1"/>
      <c r="F60" s="1"/>
      <c r="G60" s="1"/>
    </row>
    <row r="61" spans="1:18">
      <c r="A61" s="1"/>
      <c r="B61" s="1"/>
      <c r="C61" s="1"/>
      <c r="D61" s="1"/>
      <c r="E61" s="1"/>
      <c r="F61" s="1"/>
      <c r="G61" s="1"/>
    </row>
    <row r="62" spans="1:18">
      <c r="A62" s="1"/>
      <c r="B62" s="1"/>
      <c r="C62" s="1"/>
      <c r="D62" s="1"/>
      <c r="E62" s="1"/>
      <c r="F62" s="1"/>
      <c r="G62" s="1"/>
    </row>
    <row r="63" spans="1:18">
      <c r="A63" s="1"/>
      <c r="B63" s="1"/>
      <c r="C63" s="1"/>
      <c r="D63" s="1"/>
      <c r="E63" s="1"/>
      <c r="F63" s="1"/>
      <c r="G63" s="1"/>
    </row>
    <row r="64" spans="1:18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</sheetData>
  <mergeCells count="20">
    <mergeCell ref="B3:D3"/>
    <mergeCell ref="E3:G3"/>
    <mergeCell ref="I3:K3"/>
    <mergeCell ref="L3:M3"/>
    <mergeCell ref="D12:F12"/>
    <mergeCell ref="L33:O33"/>
    <mergeCell ref="A35:A39"/>
    <mergeCell ref="B42:I42"/>
    <mergeCell ref="A43:A44"/>
    <mergeCell ref="F33:F34"/>
    <mergeCell ref="G33:G34"/>
    <mergeCell ref="H33:H34"/>
    <mergeCell ref="I33:I34"/>
    <mergeCell ref="J33:J34"/>
    <mergeCell ref="K33:K34"/>
    <mergeCell ref="A33:A34"/>
    <mergeCell ref="B33:B34"/>
    <mergeCell ref="C33:C34"/>
    <mergeCell ref="D33:D34"/>
    <mergeCell ref="E33:E34"/>
  </mergeCells>
  <pageMargins left="0.7" right="0.7" top="0.75" bottom="0.75" header="0.3" footer="0.3"/>
  <ignoredErrors>
    <ignoredError sqref="H10" formula="1"/>
    <ignoredError sqref="J43:K44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zoomScaleNormal="100" workbookViewId="0">
      <selection activeCell="B29" sqref="B29"/>
    </sheetView>
  </sheetViews>
  <sheetFormatPr baseColWidth="10" defaultColWidth="16" defaultRowHeight="12.75"/>
  <cols>
    <col min="1" max="1" width="21.42578125" style="2" customWidth="1"/>
    <col min="2" max="2" width="23.5703125" style="262" customWidth="1"/>
    <col min="3" max="3" width="15" style="262" customWidth="1"/>
    <col min="4" max="4" width="15.140625" style="2" customWidth="1"/>
    <col min="5" max="5" width="16" style="2" customWidth="1"/>
    <col min="6" max="6" width="20" style="2" customWidth="1"/>
    <col min="7" max="7" width="17.140625" style="2" customWidth="1"/>
    <col min="8" max="8" width="15.28515625" style="2" customWidth="1"/>
    <col min="9" max="9" width="12.7109375" style="2" customWidth="1"/>
    <col min="10" max="10" width="15.140625" style="2" customWidth="1"/>
    <col min="11" max="11" width="15.28515625" style="2" customWidth="1"/>
    <col min="12" max="12" width="23.85546875" style="2" customWidth="1"/>
    <col min="13" max="13" width="25.5703125" style="2" customWidth="1"/>
    <col min="14" max="14" width="25.28515625" style="2" customWidth="1"/>
    <col min="15" max="15" width="16.7109375" style="2" customWidth="1"/>
    <col min="16" max="16" width="16" style="2"/>
    <col min="17" max="17" width="12.140625" style="2" customWidth="1"/>
    <col min="18" max="18" width="4.42578125" style="2" customWidth="1"/>
    <col min="19" max="19" width="34.85546875" style="2" customWidth="1"/>
    <col min="20" max="256" width="16" style="2"/>
    <col min="257" max="257" width="21.42578125" style="2" customWidth="1"/>
    <col min="258" max="258" width="23.5703125" style="2" customWidth="1"/>
    <col min="259" max="259" width="15" style="2" customWidth="1"/>
    <col min="260" max="260" width="15.140625" style="2" customWidth="1"/>
    <col min="261" max="261" width="16" style="2" customWidth="1"/>
    <col min="262" max="262" width="16.140625" style="2" customWidth="1"/>
    <col min="263" max="263" width="17.140625" style="2" customWidth="1"/>
    <col min="264" max="264" width="15.28515625" style="2" customWidth="1"/>
    <col min="265" max="265" width="12.7109375" style="2" customWidth="1"/>
    <col min="266" max="266" width="15.140625" style="2" customWidth="1"/>
    <col min="267" max="267" width="15.28515625" style="2" customWidth="1"/>
    <col min="268" max="268" width="23.85546875" style="2" customWidth="1"/>
    <col min="269" max="269" width="25.5703125" style="2" customWidth="1"/>
    <col min="270" max="270" width="20.5703125" style="2" customWidth="1"/>
    <col min="271" max="271" width="16.7109375" style="2" customWidth="1"/>
    <col min="272" max="272" width="16" style="2"/>
    <col min="273" max="273" width="12.140625" style="2" customWidth="1"/>
    <col min="274" max="274" width="4.42578125" style="2" customWidth="1"/>
    <col min="275" max="275" width="34.85546875" style="2" customWidth="1"/>
    <col min="276" max="512" width="16" style="2"/>
    <col min="513" max="513" width="21.42578125" style="2" customWidth="1"/>
    <col min="514" max="514" width="23.5703125" style="2" customWidth="1"/>
    <col min="515" max="515" width="15" style="2" customWidth="1"/>
    <col min="516" max="516" width="15.140625" style="2" customWidth="1"/>
    <col min="517" max="517" width="16" style="2" customWidth="1"/>
    <col min="518" max="518" width="16.140625" style="2" customWidth="1"/>
    <col min="519" max="519" width="17.140625" style="2" customWidth="1"/>
    <col min="520" max="520" width="15.28515625" style="2" customWidth="1"/>
    <col min="521" max="521" width="12.7109375" style="2" customWidth="1"/>
    <col min="522" max="522" width="15.140625" style="2" customWidth="1"/>
    <col min="523" max="523" width="15.28515625" style="2" customWidth="1"/>
    <col min="524" max="524" width="23.85546875" style="2" customWidth="1"/>
    <col min="525" max="525" width="25.5703125" style="2" customWidth="1"/>
    <col min="526" max="526" width="20.5703125" style="2" customWidth="1"/>
    <col min="527" max="527" width="16.7109375" style="2" customWidth="1"/>
    <col min="528" max="528" width="16" style="2"/>
    <col min="529" max="529" width="12.140625" style="2" customWidth="1"/>
    <col min="530" max="530" width="4.42578125" style="2" customWidth="1"/>
    <col min="531" max="531" width="34.85546875" style="2" customWidth="1"/>
    <col min="532" max="768" width="16" style="2"/>
    <col min="769" max="769" width="21.42578125" style="2" customWidth="1"/>
    <col min="770" max="770" width="23.5703125" style="2" customWidth="1"/>
    <col min="771" max="771" width="15" style="2" customWidth="1"/>
    <col min="772" max="772" width="15.140625" style="2" customWidth="1"/>
    <col min="773" max="773" width="16" style="2" customWidth="1"/>
    <col min="774" max="774" width="16.140625" style="2" customWidth="1"/>
    <col min="775" max="775" width="17.140625" style="2" customWidth="1"/>
    <col min="776" max="776" width="15.28515625" style="2" customWidth="1"/>
    <col min="777" max="777" width="12.7109375" style="2" customWidth="1"/>
    <col min="778" max="778" width="15.140625" style="2" customWidth="1"/>
    <col min="779" max="779" width="15.28515625" style="2" customWidth="1"/>
    <col min="780" max="780" width="23.85546875" style="2" customWidth="1"/>
    <col min="781" max="781" width="25.5703125" style="2" customWidth="1"/>
    <col min="782" max="782" width="20.5703125" style="2" customWidth="1"/>
    <col min="783" max="783" width="16.7109375" style="2" customWidth="1"/>
    <col min="784" max="784" width="16" style="2"/>
    <col min="785" max="785" width="12.140625" style="2" customWidth="1"/>
    <col min="786" max="786" width="4.42578125" style="2" customWidth="1"/>
    <col min="787" max="787" width="34.85546875" style="2" customWidth="1"/>
    <col min="788" max="1024" width="16" style="2"/>
    <col min="1025" max="1025" width="21.42578125" style="2" customWidth="1"/>
    <col min="1026" max="1026" width="23.5703125" style="2" customWidth="1"/>
    <col min="1027" max="1027" width="15" style="2" customWidth="1"/>
    <col min="1028" max="1028" width="15.140625" style="2" customWidth="1"/>
    <col min="1029" max="1029" width="16" style="2" customWidth="1"/>
    <col min="1030" max="1030" width="16.140625" style="2" customWidth="1"/>
    <col min="1031" max="1031" width="17.140625" style="2" customWidth="1"/>
    <col min="1032" max="1032" width="15.28515625" style="2" customWidth="1"/>
    <col min="1033" max="1033" width="12.7109375" style="2" customWidth="1"/>
    <col min="1034" max="1034" width="15.140625" style="2" customWidth="1"/>
    <col min="1035" max="1035" width="15.28515625" style="2" customWidth="1"/>
    <col min="1036" max="1036" width="23.85546875" style="2" customWidth="1"/>
    <col min="1037" max="1037" width="25.5703125" style="2" customWidth="1"/>
    <col min="1038" max="1038" width="20.5703125" style="2" customWidth="1"/>
    <col min="1039" max="1039" width="16.7109375" style="2" customWidth="1"/>
    <col min="1040" max="1040" width="16" style="2"/>
    <col min="1041" max="1041" width="12.140625" style="2" customWidth="1"/>
    <col min="1042" max="1042" width="4.42578125" style="2" customWidth="1"/>
    <col min="1043" max="1043" width="34.85546875" style="2" customWidth="1"/>
    <col min="1044" max="1280" width="16" style="2"/>
    <col min="1281" max="1281" width="21.42578125" style="2" customWidth="1"/>
    <col min="1282" max="1282" width="23.5703125" style="2" customWidth="1"/>
    <col min="1283" max="1283" width="15" style="2" customWidth="1"/>
    <col min="1284" max="1284" width="15.140625" style="2" customWidth="1"/>
    <col min="1285" max="1285" width="16" style="2" customWidth="1"/>
    <col min="1286" max="1286" width="16.140625" style="2" customWidth="1"/>
    <col min="1287" max="1287" width="17.140625" style="2" customWidth="1"/>
    <col min="1288" max="1288" width="15.28515625" style="2" customWidth="1"/>
    <col min="1289" max="1289" width="12.7109375" style="2" customWidth="1"/>
    <col min="1290" max="1290" width="15.140625" style="2" customWidth="1"/>
    <col min="1291" max="1291" width="15.28515625" style="2" customWidth="1"/>
    <col min="1292" max="1292" width="23.85546875" style="2" customWidth="1"/>
    <col min="1293" max="1293" width="25.5703125" style="2" customWidth="1"/>
    <col min="1294" max="1294" width="20.5703125" style="2" customWidth="1"/>
    <col min="1295" max="1295" width="16.7109375" style="2" customWidth="1"/>
    <col min="1296" max="1296" width="16" style="2"/>
    <col min="1297" max="1297" width="12.140625" style="2" customWidth="1"/>
    <col min="1298" max="1298" width="4.42578125" style="2" customWidth="1"/>
    <col min="1299" max="1299" width="34.85546875" style="2" customWidth="1"/>
    <col min="1300" max="1536" width="16" style="2"/>
    <col min="1537" max="1537" width="21.42578125" style="2" customWidth="1"/>
    <col min="1538" max="1538" width="23.5703125" style="2" customWidth="1"/>
    <col min="1539" max="1539" width="15" style="2" customWidth="1"/>
    <col min="1540" max="1540" width="15.140625" style="2" customWidth="1"/>
    <col min="1541" max="1541" width="16" style="2" customWidth="1"/>
    <col min="1542" max="1542" width="16.140625" style="2" customWidth="1"/>
    <col min="1543" max="1543" width="17.140625" style="2" customWidth="1"/>
    <col min="1544" max="1544" width="15.28515625" style="2" customWidth="1"/>
    <col min="1545" max="1545" width="12.7109375" style="2" customWidth="1"/>
    <col min="1546" max="1546" width="15.140625" style="2" customWidth="1"/>
    <col min="1547" max="1547" width="15.28515625" style="2" customWidth="1"/>
    <col min="1548" max="1548" width="23.85546875" style="2" customWidth="1"/>
    <col min="1549" max="1549" width="25.5703125" style="2" customWidth="1"/>
    <col min="1550" max="1550" width="20.5703125" style="2" customWidth="1"/>
    <col min="1551" max="1551" width="16.7109375" style="2" customWidth="1"/>
    <col min="1552" max="1552" width="16" style="2"/>
    <col min="1553" max="1553" width="12.140625" style="2" customWidth="1"/>
    <col min="1554" max="1554" width="4.42578125" style="2" customWidth="1"/>
    <col min="1555" max="1555" width="34.85546875" style="2" customWidth="1"/>
    <col min="1556" max="1792" width="16" style="2"/>
    <col min="1793" max="1793" width="21.42578125" style="2" customWidth="1"/>
    <col min="1794" max="1794" width="23.5703125" style="2" customWidth="1"/>
    <col min="1795" max="1795" width="15" style="2" customWidth="1"/>
    <col min="1796" max="1796" width="15.140625" style="2" customWidth="1"/>
    <col min="1797" max="1797" width="16" style="2" customWidth="1"/>
    <col min="1798" max="1798" width="16.140625" style="2" customWidth="1"/>
    <col min="1799" max="1799" width="17.140625" style="2" customWidth="1"/>
    <col min="1800" max="1800" width="15.28515625" style="2" customWidth="1"/>
    <col min="1801" max="1801" width="12.7109375" style="2" customWidth="1"/>
    <col min="1802" max="1802" width="15.140625" style="2" customWidth="1"/>
    <col min="1803" max="1803" width="15.28515625" style="2" customWidth="1"/>
    <col min="1804" max="1804" width="23.85546875" style="2" customWidth="1"/>
    <col min="1805" max="1805" width="25.5703125" style="2" customWidth="1"/>
    <col min="1806" max="1806" width="20.5703125" style="2" customWidth="1"/>
    <col min="1807" max="1807" width="16.7109375" style="2" customWidth="1"/>
    <col min="1808" max="1808" width="16" style="2"/>
    <col min="1809" max="1809" width="12.140625" style="2" customWidth="1"/>
    <col min="1810" max="1810" width="4.42578125" style="2" customWidth="1"/>
    <col min="1811" max="1811" width="34.85546875" style="2" customWidth="1"/>
    <col min="1812" max="2048" width="16" style="2"/>
    <col min="2049" max="2049" width="21.42578125" style="2" customWidth="1"/>
    <col min="2050" max="2050" width="23.5703125" style="2" customWidth="1"/>
    <col min="2051" max="2051" width="15" style="2" customWidth="1"/>
    <col min="2052" max="2052" width="15.140625" style="2" customWidth="1"/>
    <col min="2053" max="2053" width="16" style="2" customWidth="1"/>
    <col min="2054" max="2054" width="16.140625" style="2" customWidth="1"/>
    <col min="2055" max="2055" width="17.140625" style="2" customWidth="1"/>
    <col min="2056" max="2056" width="15.28515625" style="2" customWidth="1"/>
    <col min="2057" max="2057" width="12.7109375" style="2" customWidth="1"/>
    <col min="2058" max="2058" width="15.140625" style="2" customWidth="1"/>
    <col min="2059" max="2059" width="15.28515625" style="2" customWidth="1"/>
    <col min="2060" max="2060" width="23.85546875" style="2" customWidth="1"/>
    <col min="2061" max="2061" width="25.5703125" style="2" customWidth="1"/>
    <col min="2062" max="2062" width="20.5703125" style="2" customWidth="1"/>
    <col min="2063" max="2063" width="16.7109375" style="2" customWidth="1"/>
    <col min="2064" max="2064" width="16" style="2"/>
    <col min="2065" max="2065" width="12.140625" style="2" customWidth="1"/>
    <col min="2066" max="2066" width="4.42578125" style="2" customWidth="1"/>
    <col min="2067" max="2067" width="34.85546875" style="2" customWidth="1"/>
    <col min="2068" max="2304" width="16" style="2"/>
    <col min="2305" max="2305" width="21.42578125" style="2" customWidth="1"/>
    <col min="2306" max="2306" width="23.5703125" style="2" customWidth="1"/>
    <col min="2307" max="2307" width="15" style="2" customWidth="1"/>
    <col min="2308" max="2308" width="15.140625" style="2" customWidth="1"/>
    <col min="2309" max="2309" width="16" style="2" customWidth="1"/>
    <col min="2310" max="2310" width="16.140625" style="2" customWidth="1"/>
    <col min="2311" max="2311" width="17.140625" style="2" customWidth="1"/>
    <col min="2312" max="2312" width="15.28515625" style="2" customWidth="1"/>
    <col min="2313" max="2313" width="12.7109375" style="2" customWidth="1"/>
    <col min="2314" max="2314" width="15.140625" style="2" customWidth="1"/>
    <col min="2315" max="2315" width="15.28515625" style="2" customWidth="1"/>
    <col min="2316" max="2316" width="23.85546875" style="2" customWidth="1"/>
    <col min="2317" max="2317" width="25.5703125" style="2" customWidth="1"/>
    <col min="2318" max="2318" width="20.5703125" style="2" customWidth="1"/>
    <col min="2319" max="2319" width="16.7109375" style="2" customWidth="1"/>
    <col min="2320" max="2320" width="16" style="2"/>
    <col min="2321" max="2321" width="12.140625" style="2" customWidth="1"/>
    <col min="2322" max="2322" width="4.42578125" style="2" customWidth="1"/>
    <col min="2323" max="2323" width="34.85546875" style="2" customWidth="1"/>
    <col min="2324" max="2560" width="16" style="2"/>
    <col min="2561" max="2561" width="21.42578125" style="2" customWidth="1"/>
    <col min="2562" max="2562" width="23.5703125" style="2" customWidth="1"/>
    <col min="2563" max="2563" width="15" style="2" customWidth="1"/>
    <col min="2564" max="2564" width="15.140625" style="2" customWidth="1"/>
    <col min="2565" max="2565" width="16" style="2" customWidth="1"/>
    <col min="2566" max="2566" width="16.140625" style="2" customWidth="1"/>
    <col min="2567" max="2567" width="17.140625" style="2" customWidth="1"/>
    <col min="2568" max="2568" width="15.28515625" style="2" customWidth="1"/>
    <col min="2569" max="2569" width="12.7109375" style="2" customWidth="1"/>
    <col min="2570" max="2570" width="15.140625" style="2" customWidth="1"/>
    <col min="2571" max="2571" width="15.28515625" style="2" customWidth="1"/>
    <col min="2572" max="2572" width="23.85546875" style="2" customWidth="1"/>
    <col min="2573" max="2573" width="25.5703125" style="2" customWidth="1"/>
    <col min="2574" max="2574" width="20.5703125" style="2" customWidth="1"/>
    <col min="2575" max="2575" width="16.7109375" style="2" customWidth="1"/>
    <col min="2576" max="2576" width="16" style="2"/>
    <col min="2577" max="2577" width="12.140625" style="2" customWidth="1"/>
    <col min="2578" max="2578" width="4.42578125" style="2" customWidth="1"/>
    <col min="2579" max="2579" width="34.85546875" style="2" customWidth="1"/>
    <col min="2580" max="2816" width="16" style="2"/>
    <col min="2817" max="2817" width="21.42578125" style="2" customWidth="1"/>
    <col min="2818" max="2818" width="23.5703125" style="2" customWidth="1"/>
    <col min="2819" max="2819" width="15" style="2" customWidth="1"/>
    <col min="2820" max="2820" width="15.140625" style="2" customWidth="1"/>
    <col min="2821" max="2821" width="16" style="2" customWidth="1"/>
    <col min="2822" max="2822" width="16.140625" style="2" customWidth="1"/>
    <col min="2823" max="2823" width="17.140625" style="2" customWidth="1"/>
    <col min="2824" max="2824" width="15.28515625" style="2" customWidth="1"/>
    <col min="2825" max="2825" width="12.7109375" style="2" customWidth="1"/>
    <col min="2826" max="2826" width="15.140625" style="2" customWidth="1"/>
    <col min="2827" max="2827" width="15.28515625" style="2" customWidth="1"/>
    <col min="2828" max="2828" width="23.85546875" style="2" customWidth="1"/>
    <col min="2829" max="2829" width="25.5703125" style="2" customWidth="1"/>
    <col min="2830" max="2830" width="20.5703125" style="2" customWidth="1"/>
    <col min="2831" max="2831" width="16.7109375" style="2" customWidth="1"/>
    <col min="2832" max="2832" width="16" style="2"/>
    <col min="2833" max="2833" width="12.140625" style="2" customWidth="1"/>
    <col min="2834" max="2834" width="4.42578125" style="2" customWidth="1"/>
    <col min="2835" max="2835" width="34.85546875" style="2" customWidth="1"/>
    <col min="2836" max="3072" width="16" style="2"/>
    <col min="3073" max="3073" width="21.42578125" style="2" customWidth="1"/>
    <col min="3074" max="3074" width="23.5703125" style="2" customWidth="1"/>
    <col min="3075" max="3075" width="15" style="2" customWidth="1"/>
    <col min="3076" max="3076" width="15.140625" style="2" customWidth="1"/>
    <col min="3077" max="3077" width="16" style="2" customWidth="1"/>
    <col min="3078" max="3078" width="16.140625" style="2" customWidth="1"/>
    <col min="3079" max="3079" width="17.140625" style="2" customWidth="1"/>
    <col min="3080" max="3080" width="15.28515625" style="2" customWidth="1"/>
    <col min="3081" max="3081" width="12.7109375" style="2" customWidth="1"/>
    <col min="3082" max="3082" width="15.140625" style="2" customWidth="1"/>
    <col min="3083" max="3083" width="15.28515625" style="2" customWidth="1"/>
    <col min="3084" max="3084" width="23.85546875" style="2" customWidth="1"/>
    <col min="3085" max="3085" width="25.5703125" style="2" customWidth="1"/>
    <col min="3086" max="3086" width="20.5703125" style="2" customWidth="1"/>
    <col min="3087" max="3087" width="16.7109375" style="2" customWidth="1"/>
    <col min="3088" max="3088" width="16" style="2"/>
    <col min="3089" max="3089" width="12.140625" style="2" customWidth="1"/>
    <col min="3090" max="3090" width="4.42578125" style="2" customWidth="1"/>
    <col min="3091" max="3091" width="34.85546875" style="2" customWidth="1"/>
    <col min="3092" max="3328" width="16" style="2"/>
    <col min="3329" max="3329" width="21.42578125" style="2" customWidth="1"/>
    <col min="3330" max="3330" width="23.5703125" style="2" customWidth="1"/>
    <col min="3331" max="3331" width="15" style="2" customWidth="1"/>
    <col min="3332" max="3332" width="15.140625" style="2" customWidth="1"/>
    <col min="3333" max="3333" width="16" style="2" customWidth="1"/>
    <col min="3334" max="3334" width="16.140625" style="2" customWidth="1"/>
    <col min="3335" max="3335" width="17.140625" style="2" customWidth="1"/>
    <col min="3336" max="3336" width="15.28515625" style="2" customWidth="1"/>
    <col min="3337" max="3337" width="12.7109375" style="2" customWidth="1"/>
    <col min="3338" max="3338" width="15.140625" style="2" customWidth="1"/>
    <col min="3339" max="3339" width="15.28515625" style="2" customWidth="1"/>
    <col min="3340" max="3340" width="23.85546875" style="2" customWidth="1"/>
    <col min="3341" max="3341" width="25.5703125" style="2" customWidth="1"/>
    <col min="3342" max="3342" width="20.5703125" style="2" customWidth="1"/>
    <col min="3343" max="3343" width="16.7109375" style="2" customWidth="1"/>
    <col min="3344" max="3344" width="16" style="2"/>
    <col min="3345" max="3345" width="12.140625" style="2" customWidth="1"/>
    <col min="3346" max="3346" width="4.42578125" style="2" customWidth="1"/>
    <col min="3347" max="3347" width="34.85546875" style="2" customWidth="1"/>
    <col min="3348" max="3584" width="16" style="2"/>
    <col min="3585" max="3585" width="21.42578125" style="2" customWidth="1"/>
    <col min="3586" max="3586" width="23.5703125" style="2" customWidth="1"/>
    <col min="3587" max="3587" width="15" style="2" customWidth="1"/>
    <col min="3588" max="3588" width="15.140625" style="2" customWidth="1"/>
    <col min="3589" max="3589" width="16" style="2" customWidth="1"/>
    <col min="3590" max="3590" width="16.140625" style="2" customWidth="1"/>
    <col min="3591" max="3591" width="17.140625" style="2" customWidth="1"/>
    <col min="3592" max="3592" width="15.28515625" style="2" customWidth="1"/>
    <col min="3593" max="3593" width="12.7109375" style="2" customWidth="1"/>
    <col min="3594" max="3594" width="15.140625" style="2" customWidth="1"/>
    <col min="3595" max="3595" width="15.28515625" style="2" customWidth="1"/>
    <col min="3596" max="3596" width="23.85546875" style="2" customWidth="1"/>
    <col min="3597" max="3597" width="25.5703125" style="2" customWidth="1"/>
    <col min="3598" max="3598" width="20.5703125" style="2" customWidth="1"/>
    <col min="3599" max="3599" width="16.7109375" style="2" customWidth="1"/>
    <col min="3600" max="3600" width="16" style="2"/>
    <col min="3601" max="3601" width="12.140625" style="2" customWidth="1"/>
    <col min="3602" max="3602" width="4.42578125" style="2" customWidth="1"/>
    <col min="3603" max="3603" width="34.85546875" style="2" customWidth="1"/>
    <col min="3604" max="3840" width="16" style="2"/>
    <col min="3841" max="3841" width="21.42578125" style="2" customWidth="1"/>
    <col min="3842" max="3842" width="23.5703125" style="2" customWidth="1"/>
    <col min="3843" max="3843" width="15" style="2" customWidth="1"/>
    <col min="3844" max="3844" width="15.140625" style="2" customWidth="1"/>
    <col min="3845" max="3845" width="16" style="2" customWidth="1"/>
    <col min="3846" max="3846" width="16.140625" style="2" customWidth="1"/>
    <col min="3847" max="3847" width="17.140625" style="2" customWidth="1"/>
    <col min="3848" max="3848" width="15.28515625" style="2" customWidth="1"/>
    <col min="3849" max="3849" width="12.7109375" style="2" customWidth="1"/>
    <col min="3850" max="3850" width="15.140625" style="2" customWidth="1"/>
    <col min="3851" max="3851" width="15.28515625" style="2" customWidth="1"/>
    <col min="3852" max="3852" width="23.85546875" style="2" customWidth="1"/>
    <col min="3853" max="3853" width="25.5703125" style="2" customWidth="1"/>
    <col min="3854" max="3854" width="20.5703125" style="2" customWidth="1"/>
    <col min="3855" max="3855" width="16.7109375" style="2" customWidth="1"/>
    <col min="3856" max="3856" width="16" style="2"/>
    <col min="3857" max="3857" width="12.140625" style="2" customWidth="1"/>
    <col min="3858" max="3858" width="4.42578125" style="2" customWidth="1"/>
    <col min="3859" max="3859" width="34.85546875" style="2" customWidth="1"/>
    <col min="3860" max="4096" width="16" style="2"/>
    <col min="4097" max="4097" width="21.42578125" style="2" customWidth="1"/>
    <col min="4098" max="4098" width="23.5703125" style="2" customWidth="1"/>
    <col min="4099" max="4099" width="15" style="2" customWidth="1"/>
    <col min="4100" max="4100" width="15.140625" style="2" customWidth="1"/>
    <col min="4101" max="4101" width="16" style="2" customWidth="1"/>
    <col min="4102" max="4102" width="16.140625" style="2" customWidth="1"/>
    <col min="4103" max="4103" width="17.140625" style="2" customWidth="1"/>
    <col min="4104" max="4104" width="15.28515625" style="2" customWidth="1"/>
    <col min="4105" max="4105" width="12.7109375" style="2" customWidth="1"/>
    <col min="4106" max="4106" width="15.140625" style="2" customWidth="1"/>
    <col min="4107" max="4107" width="15.28515625" style="2" customWidth="1"/>
    <col min="4108" max="4108" width="23.85546875" style="2" customWidth="1"/>
    <col min="4109" max="4109" width="25.5703125" style="2" customWidth="1"/>
    <col min="4110" max="4110" width="20.5703125" style="2" customWidth="1"/>
    <col min="4111" max="4111" width="16.7109375" style="2" customWidth="1"/>
    <col min="4112" max="4112" width="16" style="2"/>
    <col min="4113" max="4113" width="12.140625" style="2" customWidth="1"/>
    <col min="4114" max="4114" width="4.42578125" style="2" customWidth="1"/>
    <col min="4115" max="4115" width="34.85546875" style="2" customWidth="1"/>
    <col min="4116" max="4352" width="16" style="2"/>
    <col min="4353" max="4353" width="21.42578125" style="2" customWidth="1"/>
    <col min="4354" max="4354" width="23.5703125" style="2" customWidth="1"/>
    <col min="4355" max="4355" width="15" style="2" customWidth="1"/>
    <col min="4356" max="4356" width="15.140625" style="2" customWidth="1"/>
    <col min="4357" max="4357" width="16" style="2" customWidth="1"/>
    <col min="4358" max="4358" width="16.140625" style="2" customWidth="1"/>
    <col min="4359" max="4359" width="17.140625" style="2" customWidth="1"/>
    <col min="4360" max="4360" width="15.28515625" style="2" customWidth="1"/>
    <col min="4361" max="4361" width="12.7109375" style="2" customWidth="1"/>
    <col min="4362" max="4362" width="15.140625" style="2" customWidth="1"/>
    <col min="4363" max="4363" width="15.28515625" style="2" customWidth="1"/>
    <col min="4364" max="4364" width="23.85546875" style="2" customWidth="1"/>
    <col min="4365" max="4365" width="25.5703125" style="2" customWidth="1"/>
    <col min="4366" max="4366" width="20.5703125" style="2" customWidth="1"/>
    <col min="4367" max="4367" width="16.7109375" style="2" customWidth="1"/>
    <col min="4368" max="4368" width="16" style="2"/>
    <col min="4369" max="4369" width="12.140625" style="2" customWidth="1"/>
    <col min="4370" max="4370" width="4.42578125" style="2" customWidth="1"/>
    <col min="4371" max="4371" width="34.85546875" style="2" customWidth="1"/>
    <col min="4372" max="4608" width="16" style="2"/>
    <col min="4609" max="4609" width="21.42578125" style="2" customWidth="1"/>
    <col min="4610" max="4610" width="23.5703125" style="2" customWidth="1"/>
    <col min="4611" max="4611" width="15" style="2" customWidth="1"/>
    <col min="4612" max="4612" width="15.140625" style="2" customWidth="1"/>
    <col min="4613" max="4613" width="16" style="2" customWidth="1"/>
    <col min="4614" max="4614" width="16.140625" style="2" customWidth="1"/>
    <col min="4615" max="4615" width="17.140625" style="2" customWidth="1"/>
    <col min="4616" max="4616" width="15.28515625" style="2" customWidth="1"/>
    <col min="4617" max="4617" width="12.7109375" style="2" customWidth="1"/>
    <col min="4618" max="4618" width="15.140625" style="2" customWidth="1"/>
    <col min="4619" max="4619" width="15.28515625" style="2" customWidth="1"/>
    <col min="4620" max="4620" width="23.85546875" style="2" customWidth="1"/>
    <col min="4621" max="4621" width="25.5703125" style="2" customWidth="1"/>
    <col min="4622" max="4622" width="20.5703125" style="2" customWidth="1"/>
    <col min="4623" max="4623" width="16.7109375" style="2" customWidth="1"/>
    <col min="4624" max="4624" width="16" style="2"/>
    <col min="4625" max="4625" width="12.140625" style="2" customWidth="1"/>
    <col min="4626" max="4626" width="4.42578125" style="2" customWidth="1"/>
    <col min="4627" max="4627" width="34.85546875" style="2" customWidth="1"/>
    <col min="4628" max="4864" width="16" style="2"/>
    <col min="4865" max="4865" width="21.42578125" style="2" customWidth="1"/>
    <col min="4866" max="4866" width="23.5703125" style="2" customWidth="1"/>
    <col min="4867" max="4867" width="15" style="2" customWidth="1"/>
    <col min="4868" max="4868" width="15.140625" style="2" customWidth="1"/>
    <col min="4869" max="4869" width="16" style="2" customWidth="1"/>
    <col min="4870" max="4870" width="16.140625" style="2" customWidth="1"/>
    <col min="4871" max="4871" width="17.140625" style="2" customWidth="1"/>
    <col min="4872" max="4872" width="15.28515625" style="2" customWidth="1"/>
    <col min="4873" max="4873" width="12.7109375" style="2" customWidth="1"/>
    <col min="4874" max="4874" width="15.140625" style="2" customWidth="1"/>
    <col min="4875" max="4875" width="15.28515625" style="2" customWidth="1"/>
    <col min="4876" max="4876" width="23.85546875" style="2" customWidth="1"/>
    <col min="4877" max="4877" width="25.5703125" style="2" customWidth="1"/>
    <col min="4878" max="4878" width="20.5703125" style="2" customWidth="1"/>
    <col min="4879" max="4879" width="16.7109375" style="2" customWidth="1"/>
    <col min="4880" max="4880" width="16" style="2"/>
    <col min="4881" max="4881" width="12.140625" style="2" customWidth="1"/>
    <col min="4882" max="4882" width="4.42578125" style="2" customWidth="1"/>
    <col min="4883" max="4883" width="34.85546875" style="2" customWidth="1"/>
    <col min="4884" max="5120" width="16" style="2"/>
    <col min="5121" max="5121" width="21.42578125" style="2" customWidth="1"/>
    <col min="5122" max="5122" width="23.5703125" style="2" customWidth="1"/>
    <col min="5123" max="5123" width="15" style="2" customWidth="1"/>
    <col min="5124" max="5124" width="15.140625" style="2" customWidth="1"/>
    <col min="5125" max="5125" width="16" style="2" customWidth="1"/>
    <col min="5126" max="5126" width="16.140625" style="2" customWidth="1"/>
    <col min="5127" max="5127" width="17.140625" style="2" customWidth="1"/>
    <col min="5128" max="5128" width="15.28515625" style="2" customWidth="1"/>
    <col min="5129" max="5129" width="12.7109375" style="2" customWidth="1"/>
    <col min="5130" max="5130" width="15.140625" style="2" customWidth="1"/>
    <col min="5131" max="5131" width="15.28515625" style="2" customWidth="1"/>
    <col min="5132" max="5132" width="23.85546875" style="2" customWidth="1"/>
    <col min="5133" max="5133" width="25.5703125" style="2" customWidth="1"/>
    <col min="5134" max="5134" width="20.5703125" style="2" customWidth="1"/>
    <col min="5135" max="5135" width="16.7109375" style="2" customWidth="1"/>
    <col min="5136" max="5136" width="16" style="2"/>
    <col min="5137" max="5137" width="12.140625" style="2" customWidth="1"/>
    <col min="5138" max="5138" width="4.42578125" style="2" customWidth="1"/>
    <col min="5139" max="5139" width="34.85546875" style="2" customWidth="1"/>
    <col min="5140" max="5376" width="16" style="2"/>
    <col min="5377" max="5377" width="21.42578125" style="2" customWidth="1"/>
    <col min="5378" max="5378" width="23.5703125" style="2" customWidth="1"/>
    <col min="5379" max="5379" width="15" style="2" customWidth="1"/>
    <col min="5380" max="5380" width="15.140625" style="2" customWidth="1"/>
    <col min="5381" max="5381" width="16" style="2" customWidth="1"/>
    <col min="5382" max="5382" width="16.140625" style="2" customWidth="1"/>
    <col min="5383" max="5383" width="17.140625" style="2" customWidth="1"/>
    <col min="5384" max="5384" width="15.28515625" style="2" customWidth="1"/>
    <col min="5385" max="5385" width="12.7109375" style="2" customWidth="1"/>
    <col min="5386" max="5386" width="15.140625" style="2" customWidth="1"/>
    <col min="5387" max="5387" width="15.28515625" style="2" customWidth="1"/>
    <col min="5388" max="5388" width="23.85546875" style="2" customWidth="1"/>
    <col min="5389" max="5389" width="25.5703125" style="2" customWidth="1"/>
    <col min="5390" max="5390" width="20.5703125" style="2" customWidth="1"/>
    <col min="5391" max="5391" width="16.7109375" style="2" customWidth="1"/>
    <col min="5392" max="5392" width="16" style="2"/>
    <col min="5393" max="5393" width="12.140625" style="2" customWidth="1"/>
    <col min="5394" max="5394" width="4.42578125" style="2" customWidth="1"/>
    <col min="5395" max="5395" width="34.85546875" style="2" customWidth="1"/>
    <col min="5396" max="5632" width="16" style="2"/>
    <col min="5633" max="5633" width="21.42578125" style="2" customWidth="1"/>
    <col min="5634" max="5634" width="23.5703125" style="2" customWidth="1"/>
    <col min="5635" max="5635" width="15" style="2" customWidth="1"/>
    <col min="5636" max="5636" width="15.140625" style="2" customWidth="1"/>
    <col min="5637" max="5637" width="16" style="2" customWidth="1"/>
    <col min="5638" max="5638" width="16.140625" style="2" customWidth="1"/>
    <col min="5639" max="5639" width="17.140625" style="2" customWidth="1"/>
    <col min="5640" max="5640" width="15.28515625" style="2" customWidth="1"/>
    <col min="5641" max="5641" width="12.7109375" style="2" customWidth="1"/>
    <col min="5642" max="5642" width="15.140625" style="2" customWidth="1"/>
    <col min="5643" max="5643" width="15.28515625" style="2" customWidth="1"/>
    <col min="5644" max="5644" width="23.85546875" style="2" customWidth="1"/>
    <col min="5645" max="5645" width="25.5703125" style="2" customWidth="1"/>
    <col min="5646" max="5646" width="20.5703125" style="2" customWidth="1"/>
    <col min="5647" max="5647" width="16.7109375" style="2" customWidth="1"/>
    <col min="5648" max="5648" width="16" style="2"/>
    <col min="5649" max="5649" width="12.140625" style="2" customWidth="1"/>
    <col min="5650" max="5650" width="4.42578125" style="2" customWidth="1"/>
    <col min="5651" max="5651" width="34.85546875" style="2" customWidth="1"/>
    <col min="5652" max="5888" width="16" style="2"/>
    <col min="5889" max="5889" width="21.42578125" style="2" customWidth="1"/>
    <col min="5890" max="5890" width="23.5703125" style="2" customWidth="1"/>
    <col min="5891" max="5891" width="15" style="2" customWidth="1"/>
    <col min="5892" max="5892" width="15.140625" style="2" customWidth="1"/>
    <col min="5893" max="5893" width="16" style="2" customWidth="1"/>
    <col min="5894" max="5894" width="16.140625" style="2" customWidth="1"/>
    <col min="5895" max="5895" width="17.140625" style="2" customWidth="1"/>
    <col min="5896" max="5896" width="15.28515625" style="2" customWidth="1"/>
    <col min="5897" max="5897" width="12.7109375" style="2" customWidth="1"/>
    <col min="5898" max="5898" width="15.140625" style="2" customWidth="1"/>
    <col min="5899" max="5899" width="15.28515625" style="2" customWidth="1"/>
    <col min="5900" max="5900" width="23.85546875" style="2" customWidth="1"/>
    <col min="5901" max="5901" width="25.5703125" style="2" customWidth="1"/>
    <col min="5902" max="5902" width="20.5703125" style="2" customWidth="1"/>
    <col min="5903" max="5903" width="16.7109375" style="2" customWidth="1"/>
    <col min="5904" max="5904" width="16" style="2"/>
    <col min="5905" max="5905" width="12.140625" style="2" customWidth="1"/>
    <col min="5906" max="5906" width="4.42578125" style="2" customWidth="1"/>
    <col min="5907" max="5907" width="34.85546875" style="2" customWidth="1"/>
    <col min="5908" max="6144" width="16" style="2"/>
    <col min="6145" max="6145" width="21.42578125" style="2" customWidth="1"/>
    <col min="6146" max="6146" width="23.5703125" style="2" customWidth="1"/>
    <col min="6147" max="6147" width="15" style="2" customWidth="1"/>
    <col min="6148" max="6148" width="15.140625" style="2" customWidth="1"/>
    <col min="6149" max="6149" width="16" style="2" customWidth="1"/>
    <col min="6150" max="6150" width="16.140625" style="2" customWidth="1"/>
    <col min="6151" max="6151" width="17.140625" style="2" customWidth="1"/>
    <col min="6152" max="6152" width="15.28515625" style="2" customWidth="1"/>
    <col min="6153" max="6153" width="12.7109375" style="2" customWidth="1"/>
    <col min="6154" max="6154" width="15.140625" style="2" customWidth="1"/>
    <col min="6155" max="6155" width="15.28515625" style="2" customWidth="1"/>
    <col min="6156" max="6156" width="23.85546875" style="2" customWidth="1"/>
    <col min="6157" max="6157" width="25.5703125" style="2" customWidth="1"/>
    <col min="6158" max="6158" width="20.5703125" style="2" customWidth="1"/>
    <col min="6159" max="6159" width="16.7109375" style="2" customWidth="1"/>
    <col min="6160" max="6160" width="16" style="2"/>
    <col min="6161" max="6161" width="12.140625" style="2" customWidth="1"/>
    <col min="6162" max="6162" width="4.42578125" style="2" customWidth="1"/>
    <col min="6163" max="6163" width="34.85546875" style="2" customWidth="1"/>
    <col min="6164" max="6400" width="16" style="2"/>
    <col min="6401" max="6401" width="21.42578125" style="2" customWidth="1"/>
    <col min="6402" max="6402" width="23.5703125" style="2" customWidth="1"/>
    <col min="6403" max="6403" width="15" style="2" customWidth="1"/>
    <col min="6404" max="6404" width="15.140625" style="2" customWidth="1"/>
    <col min="6405" max="6405" width="16" style="2" customWidth="1"/>
    <col min="6406" max="6406" width="16.140625" style="2" customWidth="1"/>
    <col min="6407" max="6407" width="17.140625" style="2" customWidth="1"/>
    <col min="6408" max="6408" width="15.28515625" style="2" customWidth="1"/>
    <col min="6409" max="6409" width="12.7109375" style="2" customWidth="1"/>
    <col min="6410" max="6410" width="15.140625" style="2" customWidth="1"/>
    <col min="6411" max="6411" width="15.28515625" style="2" customWidth="1"/>
    <col min="6412" max="6412" width="23.85546875" style="2" customWidth="1"/>
    <col min="6413" max="6413" width="25.5703125" style="2" customWidth="1"/>
    <col min="6414" max="6414" width="20.5703125" style="2" customWidth="1"/>
    <col min="6415" max="6415" width="16.7109375" style="2" customWidth="1"/>
    <col min="6416" max="6416" width="16" style="2"/>
    <col min="6417" max="6417" width="12.140625" style="2" customWidth="1"/>
    <col min="6418" max="6418" width="4.42578125" style="2" customWidth="1"/>
    <col min="6419" max="6419" width="34.85546875" style="2" customWidth="1"/>
    <col min="6420" max="6656" width="16" style="2"/>
    <col min="6657" max="6657" width="21.42578125" style="2" customWidth="1"/>
    <col min="6658" max="6658" width="23.5703125" style="2" customWidth="1"/>
    <col min="6659" max="6659" width="15" style="2" customWidth="1"/>
    <col min="6660" max="6660" width="15.140625" style="2" customWidth="1"/>
    <col min="6661" max="6661" width="16" style="2" customWidth="1"/>
    <col min="6662" max="6662" width="16.140625" style="2" customWidth="1"/>
    <col min="6663" max="6663" width="17.140625" style="2" customWidth="1"/>
    <col min="6664" max="6664" width="15.28515625" style="2" customWidth="1"/>
    <col min="6665" max="6665" width="12.7109375" style="2" customWidth="1"/>
    <col min="6666" max="6666" width="15.140625" style="2" customWidth="1"/>
    <col min="6667" max="6667" width="15.28515625" style="2" customWidth="1"/>
    <col min="6668" max="6668" width="23.85546875" style="2" customWidth="1"/>
    <col min="6669" max="6669" width="25.5703125" style="2" customWidth="1"/>
    <col min="6670" max="6670" width="20.5703125" style="2" customWidth="1"/>
    <col min="6671" max="6671" width="16.7109375" style="2" customWidth="1"/>
    <col min="6672" max="6672" width="16" style="2"/>
    <col min="6673" max="6673" width="12.140625" style="2" customWidth="1"/>
    <col min="6674" max="6674" width="4.42578125" style="2" customWidth="1"/>
    <col min="6675" max="6675" width="34.85546875" style="2" customWidth="1"/>
    <col min="6676" max="6912" width="16" style="2"/>
    <col min="6913" max="6913" width="21.42578125" style="2" customWidth="1"/>
    <col min="6914" max="6914" width="23.5703125" style="2" customWidth="1"/>
    <col min="6915" max="6915" width="15" style="2" customWidth="1"/>
    <col min="6916" max="6916" width="15.140625" style="2" customWidth="1"/>
    <col min="6917" max="6917" width="16" style="2" customWidth="1"/>
    <col min="6918" max="6918" width="16.140625" style="2" customWidth="1"/>
    <col min="6919" max="6919" width="17.140625" style="2" customWidth="1"/>
    <col min="6920" max="6920" width="15.28515625" style="2" customWidth="1"/>
    <col min="6921" max="6921" width="12.7109375" style="2" customWidth="1"/>
    <col min="6922" max="6922" width="15.140625" style="2" customWidth="1"/>
    <col min="6923" max="6923" width="15.28515625" style="2" customWidth="1"/>
    <col min="6924" max="6924" width="23.85546875" style="2" customWidth="1"/>
    <col min="6925" max="6925" width="25.5703125" style="2" customWidth="1"/>
    <col min="6926" max="6926" width="20.5703125" style="2" customWidth="1"/>
    <col min="6927" max="6927" width="16.7109375" style="2" customWidth="1"/>
    <col min="6928" max="6928" width="16" style="2"/>
    <col min="6929" max="6929" width="12.140625" style="2" customWidth="1"/>
    <col min="6930" max="6930" width="4.42578125" style="2" customWidth="1"/>
    <col min="6931" max="6931" width="34.85546875" style="2" customWidth="1"/>
    <col min="6932" max="7168" width="16" style="2"/>
    <col min="7169" max="7169" width="21.42578125" style="2" customWidth="1"/>
    <col min="7170" max="7170" width="23.5703125" style="2" customWidth="1"/>
    <col min="7171" max="7171" width="15" style="2" customWidth="1"/>
    <col min="7172" max="7172" width="15.140625" style="2" customWidth="1"/>
    <col min="7173" max="7173" width="16" style="2" customWidth="1"/>
    <col min="7174" max="7174" width="16.140625" style="2" customWidth="1"/>
    <col min="7175" max="7175" width="17.140625" style="2" customWidth="1"/>
    <col min="7176" max="7176" width="15.28515625" style="2" customWidth="1"/>
    <col min="7177" max="7177" width="12.7109375" style="2" customWidth="1"/>
    <col min="7178" max="7178" width="15.140625" style="2" customWidth="1"/>
    <col min="7179" max="7179" width="15.28515625" style="2" customWidth="1"/>
    <col min="7180" max="7180" width="23.85546875" style="2" customWidth="1"/>
    <col min="7181" max="7181" width="25.5703125" style="2" customWidth="1"/>
    <col min="7182" max="7182" width="20.5703125" style="2" customWidth="1"/>
    <col min="7183" max="7183" width="16.7109375" style="2" customWidth="1"/>
    <col min="7184" max="7184" width="16" style="2"/>
    <col min="7185" max="7185" width="12.140625" style="2" customWidth="1"/>
    <col min="7186" max="7186" width="4.42578125" style="2" customWidth="1"/>
    <col min="7187" max="7187" width="34.85546875" style="2" customWidth="1"/>
    <col min="7188" max="7424" width="16" style="2"/>
    <col min="7425" max="7425" width="21.42578125" style="2" customWidth="1"/>
    <col min="7426" max="7426" width="23.5703125" style="2" customWidth="1"/>
    <col min="7427" max="7427" width="15" style="2" customWidth="1"/>
    <col min="7428" max="7428" width="15.140625" style="2" customWidth="1"/>
    <col min="7429" max="7429" width="16" style="2" customWidth="1"/>
    <col min="7430" max="7430" width="16.140625" style="2" customWidth="1"/>
    <col min="7431" max="7431" width="17.140625" style="2" customWidth="1"/>
    <col min="7432" max="7432" width="15.28515625" style="2" customWidth="1"/>
    <col min="7433" max="7433" width="12.7109375" style="2" customWidth="1"/>
    <col min="7434" max="7434" width="15.140625" style="2" customWidth="1"/>
    <col min="7435" max="7435" width="15.28515625" style="2" customWidth="1"/>
    <col min="7436" max="7436" width="23.85546875" style="2" customWidth="1"/>
    <col min="7437" max="7437" width="25.5703125" style="2" customWidth="1"/>
    <col min="7438" max="7438" width="20.5703125" style="2" customWidth="1"/>
    <col min="7439" max="7439" width="16.7109375" style="2" customWidth="1"/>
    <col min="7440" max="7440" width="16" style="2"/>
    <col min="7441" max="7441" width="12.140625" style="2" customWidth="1"/>
    <col min="7442" max="7442" width="4.42578125" style="2" customWidth="1"/>
    <col min="7443" max="7443" width="34.85546875" style="2" customWidth="1"/>
    <col min="7444" max="7680" width="16" style="2"/>
    <col min="7681" max="7681" width="21.42578125" style="2" customWidth="1"/>
    <col min="7682" max="7682" width="23.5703125" style="2" customWidth="1"/>
    <col min="7683" max="7683" width="15" style="2" customWidth="1"/>
    <col min="7684" max="7684" width="15.140625" style="2" customWidth="1"/>
    <col min="7685" max="7685" width="16" style="2" customWidth="1"/>
    <col min="7686" max="7686" width="16.140625" style="2" customWidth="1"/>
    <col min="7687" max="7687" width="17.140625" style="2" customWidth="1"/>
    <col min="7688" max="7688" width="15.28515625" style="2" customWidth="1"/>
    <col min="7689" max="7689" width="12.7109375" style="2" customWidth="1"/>
    <col min="7690" max="7690" width="15.140625" style="2" customWidth="1"/>
    <col min="7691" max="7691" width="15.28515625" style="2" customWidth="1"/>
    <col min="7692" max="7692" width="23.85546875" style="2" customWidth="1"/>
    <col min="7693" max="7693" width="25.5703125" style="2" customWidth="1"/>
    <col min="7694" max="7694" width="20.5703125" style="2" customWidth="1"/>
    <col min="7695" max="7695" width="16.7109375" style="2" customWidth="1"/>
    <col min="7696" max="7696" width="16" style="2"/>
    <col min="7697" max="7697" width="12.140625" style="2" customWidth="1"/>
    <col min="7698" max="7698" width="4.42578125" style="2" customWidth="1"/>
    <col min="7699" max="7699" width="34.85546875" style="2" customWidth="1"/>
    <col min="7700" max="7936" width="16" style="2"/>
    <col min="7937" max="7937" width="21.42578125" style="2" customWidth="1"/>
    <col min="7938" max="7938" width="23.5703125" style="2" customWidth="1"/>
    <col min="7939" max="7939" width="15" style="2" customWidth="1"/>
    <col min="7940" max="7940" width="15.140625" style="2" customWidth="1"/>
    <col min="7941" max="7941" width="16" style="2" customWidth="1"/>
    <col min="7942" max="7942" width="16.140625" style="2" customWidth="1"/>
    <col min="7943" max="7943" width="17.140625" style="2" customWidth="1"/>
    <col min="7944" max="7944" width="15.28515625" style="2" customWidth="1"/>
    <col min="7945" max="7945" width="12.7109375" style="2" customWidth="1"/>
    <col min="7946" max="7946" width="15.140625" style="2" customWidth="1"/>
    <col min="7947" max="7947" width="15.28515625" style="2" customWidth="1"/>
    <col min="7948" max="7948" width="23.85546875" style="2" customWidth="1"/>
    <col min="7949" max="7949" width="25.5703125" style="2" customWidth="1"/>
    <col min="7950" max="7950" width="20.5703125" style="2" customWidth="1"/>
    <col min="7951" max="7951" width="16.7109375" style="2" customWidth="1"/>
    <col min="7952" max="7952" width="16" style="2"/>
    <col min="7953" max="7953" width="12.140625" style="2" customWidth="1"/>
    <col min="7954" max="7954" width="4.42578125" style="2" customWidth="1"/>
    <col min="7955" max="7955" width="34.85546875" style="2" customWidth="1"/>
    <col min="7956" max="8192" width="16" style="2"/>
    <col min="8193" max="8193" width="21.42578125" style="2" customWidth="1"/>
    <col min="8194" max="8194" width="23.5703125" style="2" customWidth="1"/>
    <col min="8195" max="8195" width="15" style="2" customWidth="1"/>
    <col min="8196" max="8196" width="15.140625" style="2" customWidth="1"/>
    <col min="8197" max="8197" width="16" style="2" customWidth="1"/>
    <col min="8198" max="8198" width="16.140625" style="2" customWidth="1"/>
    <col min="8199" max="8199" width="17.140625" style="2" customWidth="1"/>
    <col min="8200" max="8200" width="15.28515625" style="2" customWidth="1"/>
    <col min="8201" max="8201" width="12.7109375" style="2" customWidth="1"/>
    <col min="8202" max="8202" width="15.140625" style="2" customWidth="1"/>
    <col min="8203" max="8203" width="15.28515625" style="2" customWidth="1"/>
    <col min="8204" max="8204" width="23.85546875" style="2" customWidth="1"/>
    <col min="8205" max="8205" width="25.5703125" style="2" customWidth="1"/>
    <col min="8206" max="8206" width="20.5703125" style="2" customWidth="1"/>
    <col min="8207" max="8207" width="16.7109375" style="2" customWidth="1"/>
    <col min="8208" max="8208" width="16" style="2"/>
    <col min="8209" max="8209" width="12.140625" style="2" customWidth="1"/>
    <col min="8210" max="8210" width="4.42578125" style="2" customWidth="1"/>
    <col min="8211" max="8211" width="34.85546875" style="2" customWidth="1"/>
    <col min="8212" max="8448" width="16" style="2"/>
    <col min="8449" max="8449" width="21.42578125" style="2" customWidth="1"/>
    <col min="8450" max="8450" width="23.5703125" style="2" customWidth="1"/>
    <col min="8451" max="8451" width="15" style="2" customWidth="1"/>
    <col min="8452" max="8452" width="15.140625" style="2" customWidth="1"/>
    <col min="8453" max="8453" width="16" style="2" customWidth="1"/>
    <col min="8454" max="8454" width="16.140625" style="2" customWidth="1"/>
    <col min="8455" max="8455" width="17.140625" style="2" customWidth="1"/>
    <col min="8456" max="8456" width="15.28515625" style="2" customWidth="1"/>
    <col min="8457" max="8457" width="12.7109375" style="2" customWidth="1"/>
    <col min="8458" max="8458" width="15.140625" style="2" customWidth="1"/>
    <col min="8459" max="8459" width="15.28515625" style="2" customWidth="1"/>
    <col min="8460" max="8460" width="23.85546875" style="2" customWidth="1"/>
    <col min="8461" max="8461" width="25.5703125" style="2" customWidth="1"/>
    <col min="8462" max="8462" width="20.5703125" style="2" customWidth="1"/>
    <col min="8463" max="8463" width="16.7109375" style="2" customWidth="1"/>
    <col min="8464" max="8464" width="16" style="2"/>
    <col min="8465" max="8465" width="12.140625" style="2" customWidth="1"/>
    <col min="8466" max="8466" width="4.42578125" style="2" customWidth="1"/>
    <col min="8467" max="8467" width="34.85546875" style="2" customWidth="1"/>
    <col min="8468" max="8704" width="16" style="2"/>
    <col min="8705" max="8705" width="21.42578125" style="2" customWidth="1"/>
    <col min="8706" max="8706" width="23.5703125" style="2" customWidth="1"/>
    <col min="8707" max="8707" width="15" style="2" customWidth="1"/>
    <col min="8708" max="8708" width="15.140625" style="2" customWidth="1"/>
    <col min="8709" max="8709" width="16" style="2" customWidth="1"/>
    <col min="8710" max="8710" width="16.140625" style="2" customWidth="1"/>
    <col min="8711" max="8711" width="17.140625" style="2" customWidth="1"/>
    <col min="8712" max="8712" width="15.28515625" style="2" customWidth="1"/>
    <col min="8713" max="8713" width="12.7109375" style="2" customWidth="1"/>
    <col min="8714" max="8714" width="15.140625" style="2" customWidth="1"/>
    <col min="8715" max="8715" width="15.28515625" style="2" customWidth="1"/>
    <col min="8716" max="8716" width="23.85546875" style="2" customWidth="1"/>
    <col min="8717" max="8717" width="25.5703125" style="2" customWidth="1"/>
    <col min="8718" max="8718" width="20.5703125" style="2" customWidth="1"/>
    <col min="8719" max="8719" width="16.7109375" style="2" customWidth="1"/>
    <col min="8720" max="8720" width="16" style="2"/>
    <col min="8721" max="8721" width="12.140625" style="2" customWidth="1"/>
    <col min="8722" max="8722" width="4.42578125" style="2" customWidth="1"/>
    <col min="8723" max="8723" width="34.85546875" style="2" customWidth="1"/>
    <col min="8724" max="8960" width="16" style="2"/>
    <col min="8961" max="8961" width="21.42578125" style="2" customWidth="1"/>
    <col min="8962" max="8962" width="23.5703125" style="2" customWidth="1"/>
    <col min="8963" max="8963" width="15" style="2" customWidth="1"/>
    <col min="8964" max="8964" width="15.140625" style="2" customWidth="1"/>
    <col min="8965" max="8965" width="16" style="2" customWidth="1"/>
    <col min="8966" max="8966" width="16.140625" style="2" customWidth="1"/>
    <col min="8967" max="8967" width="17.140625" style="2" customWidth="1"/>
    <col min="8968" max="8968" width="15.28515625" style="2" customWidth="1"/>
    <col min="8969" max="8969" width="12.7109375" style="2" customWidth="1"/>
    <col min="8970" max="8970" width="15.140625" style="2" customWidth="1"/>
    <col min="8971" max="8971" width="15.28515625" style="2" customWidth="1"/>
    <col min="8972" max="8972" width="23.85546875" style="2" customWidth="1"/>
    <col min="8973" max="8973" width="25.5703125" style="2" customWidth="1"/>
    <col min="8974" max="8974" width="20.5703125" style="2" customWidth="1"/>
    <col min="8975" max="8975" width="16.7109375" style="2" customWidth="1"/>
    <col min="8976" max="8976" width="16" style="2"/>
    <col min="8977" max="8977" width="12.140625" style="2" customWidth="1"/>
    <col min="8978" max="8978" width="4.42578125" style="2" customWidth="1"/>
    <col min="8979" max="8979" width="34.85546875" style="2" customWidth="1"/>
    <col min="8980" max="9216" width="16" style="2"/>
    <col min="9217" max="9217" width="21.42578125" style="2" customWidth="1"/>
    <col min="9218" max="9218" width="23.5703125" style="2" customWidth="1"/>
    <col min="9219" max="9219" width="15" style="2" customWidth="1"/>
    <col min="9220" max="9220" width="15.140625" style="2" customWidth="1"/>
    <col min="9221" max="9221" width="16" style="2" customWidth="1"/>
    <col min="9222" max="9222" width="16.140625" style="2" customWidth="1"/>
    <col min="9223" max="9223" width="17.140625" style="2" customWidth="1"/>
    <col min="9224" max="9224" width="15.28515625" style="2" customWidth="1"/>
    <col min="9225" max="9225" width="12.7109375" style="2" customWidth="1"/>
    <col min="9226" max="9226" width="15.140625" style="2" customWidth="1"/>
    <col min="9227" max="9227" width="15.28515625" style="2" customWidth="1"/>
    <col min="9228" max="9228" width="23.85546875" style="2" customWidth="1"/>
    <col min="9229" max="9229" width="25.5703125" style="2" customWidth="1"/>
    <col min="9230" max="9230" width="20.5703125" style="2" customWidth="1"/>
    <col min="9231" max="9231" width="16.7109375" style="2" customWidth="1"/>
    <col min="9232" max="9232" width="16" style="2"/>
    <col min="9233" max="9233" width="12.140625" style="2" customWidth="1"/>
    <col min="9234" max="9234" width="4.42578125" style="2" customWidth="1"/>
    <col min="9235" max="9235" width="34.85546875" style="2" customWidth="1"/>
    <col min="9236" max="9472" width="16" style="2"/>
    <col min="9473" max="9473" width="21.42578125" style="2" customWidth="1"/>
    <col min="9474" max="9474" width="23.5703125" style="2" customWidth="1"/>
    <col min="9475" max="9475" width="15" style="2" customWidth="1"/>
    <col min="9476" max="9476" width="15.140625" style="2" customWidth="1"/>
    <col min="9477" max="9477" width="16" style="2" customWidth="1"/>
    <col min="9478" max="9478" width="16.140625" style="2" customWidth="1"/>
    <col min="9479" max="9479" width="17.140625" style="2" customWidth="1"/>
    <col min="9480" max="9480" width="15.28515625" style="2" customWidth="1"/>
    <col min="9481" max="9481" width="12.7109375" style="2" customWidth="1"/>
    <col min="9482" max="9482" width="15.140625" style="2" customWidth="1"/>
    <col min="9483" max="9483" width="15.28515625" style="2" customWidth="1"/>
    <col min="9484" max="9484" width="23.85546875" style="2" customWidth="1"/>
    <col min="9485" max="9485" width="25.5703125" style="2" customWidth="1"/>
    <col min="9486" max="9486" width="20.5703125" style="2" customWidth="1"/>
    <col min="9487" max="9487" width="16.7109375" style="2" customWidth="1"/>
    <col min="9488" max="9488" width="16" style="2"/>
    <col min="9489" max="9489" width="12.140625" style="2" customWidth="1"/>
    <col min="9490" max="9490" width="4.42578125" style="2" customWidth="1"/>
    <col min="9491" max="9491" width="34.85546875" style="2" customWidth="1"/>
    <col min="9492" max="9728" width="16" style="2"/>
    <col min="9729" max="9729" width="21.42578125" style="2" customWidth="1"/>
    <col min="9730" max="9730" width="23.5703125" style="2" customWidth="1"/>
    <col min="9731" max="9731" width="15" style="2" customWidth="1"/>
    <col min="9732" max="9732" width="15.140625" style="2" customWidth="1"/>
    <col min="9733" max="9733" width="16" style="2" customWidth="1"/>
    <col min="9734" max="9734" width="16.140625" style="2" customWidth="1"/>
    <col min="9735" max="9735" width="17.140625" style="2" customWidth="1"/>
    <col min="9736" max="9736" width="15.28515625" style="2" customWidth="1"/>
    <col min="9737" max="9737" width="12.7109375" style="2" customWidth="1"/>
    <col min="9738" max="9738" width="15.140625" style="2" customWidth="1"/>
    <col min="9739" max="9739" width="15.28515625" style="2" customWidth="1"/>
    <col min="9740" max="9740" width="23.85546875" style="2" customWidth="1"/>
    <col min="9741" max="9741" width="25.5703125" style="2" customWidth="1"/>
    <col min="9742" max="9742" width="20.5703125" style="2" customWidth="1"/>
    <col min="9743" max="9743" width="16.7109375" style="2" customWidth="1"/>
    <col min="9744" max="9744" width="16" style="2"/>
    <col min="9745" max="9745" width="12.140625" style="2" customWidth="1"/>
    <col min="9746" max="9746" width="4.42578125" style="2" customWidth="1"/>
    <col min="9747" max="9747" width="34.85546875" style="2" customWidth="1"/>
    <col min="9748" max="9984" width="16" style="2"/>
    <col min="9985" max="9985" width="21.42578125" style="2" customWidth="1"/>
    <col min="9986" max="9986" width="23.5703125" style="2" customWidth="1"/>
    <col min="9987" max="9987" width="15" style="2" customWidth="1"/>
    <col min="9988" max="9988" width="15.140625" style="2" customWidth="1"/>
    <col min="9989" max="9989" width="16" style="2" customWidth="1"/>
    <col min="9990" max="9990" width="16.140625" style="2" customWidth="1"/>
    <col min="9991" max="9991" width="17.140625" style="2" customWidth="1"/>
    <col min="9992" max="9992" width="15.28515625" style="2" customWidth="1"/>
    <col min="9993" max="9993" width="12.7109375" style="2" customWidth="1"/>
    <col min="9994" max="9994" width="15.140625" style="2" customWidth="1"/>
    <col min="9995" max="9995" width="15.28515625" style="2" customWidth="1"/>
    <col min="9996" max="9996" width="23.85546875" style="2" customWidth="1"/>
    <col min="9997" max="9997" width="25.5703125" style="2" customWidth="1"/>
    <col min="9998" max="9998" width="20.5703125" style="2" customWidth="1"/>
    <col min="9999" max="9999" width="16.7109375" style="2" customWidth="1"/>
    <col min="10000" max="10000" width="16" style="2"/>
    <col min="10001" max="10001" width="12.140625" style="2" customWidth="1"/>
    <col min="10002" max="10002" width="4.42578125" style="2" customWidth="1"/>
    <col min="10003" max="10003" width="34.85546875" style="2" customWidth="1"/>
    <col min="10004" max="10240" width="16" style="2"/>
    <col min="10241" max="10241" width="21.42578125" style="2" customWidth="1"/>
    <col min="10242" max="10242" width="23.5703125" style="2" customWidth="1"/>
    <col min="10243" max="10243" width="15" style="2" customWidth="1"/>
    <col min="10244" max="10244" width="15.140625" style="2" customWidth="1"/>
    <col min="10245" max="10245" width="16" style="2" customWidth="1"/>
    <col min="10246" max="10246" width="16.140625" style="2" customWidth="1"/>
    <col min="10247" max="10247" width="17.140625" style="2" customWidth="1"/>
    <col min="10248" max="10248" width="15.28515625" style="2" customWidth="1"/>
    <col min="10249" max="10249" width="12.7109375" style="2" customWidth="1"/>
    <col min="10250" max="10250" width="15.140625" style="2" customWidth="1"/>
    <col min="10251" max="10251" width="15.28515625" style="2" customWidth="1"/>
    <col min="10252" max="10252" width="23.85546875" style="2" customWidth="1"/>
    <col min="10253" max="10253" width="25.5703125" style="2" customWidth="1"/>
    <col min="10254" max="10254" width="20.5703125" style="2" customWidth="1"/>
    <col min="10255" max="10255" width="16.7109375" style="2" customWidth="1"/>
    <col min="10256" max="10256" width="16" style="2"/>
    <col min="10257" max="10257" width="12.140625" style="2" customWidth="1"/>
    <col min="10258" max="10258" width="4.42578125" style="2" customWidth="1"/>
    <col min="10259" max="10259" width="34.85546875" style="2" customWidth="1"/>
    <col min="10260" max="10496" width="16" style="2"/>
    <col min="10497" max="10497" width="21.42578125" style="2" customWidth="1"/>
    <col min="10498" max="10498" width="23.5703125" style="2" customWidth="1"/>
    <col min="10499" max="10499" width="15" style="2" customWidth="1"/>
    <col min="10500" max="10500" width="15.140625" style="2" customWidth="1"/>
    <col min="10501" max="10501" width="16" style="2" customWidth="1"/>
    <col min="10502" max="10502" width="16.140625" style="2" customWidth="1"/>
    <col min="10503" max="10503" width="17.140625" style="2" customWidth="1"/>
    <col min="10504" max="10504" width="15.28515625" style="2" customWidth="1"/>
    <col min="10505" max="10505" width="12.7109375" style="2" customWidth="1"/>
    <col min="10506" max="10506" width="15.140625" style="2" customWidth="1"/>
    <col min="10507" max="10507" width="15.28515625" style="2" customWidth="1"/>
    <col min="10508" max="10508" width="23.85546875" style="2" customWidth="1"/>
    <col min="10509" max="10509" width="25.5703125" style="2" customWidth="1"/>
    <col min="10510" max="10510" width="20.5703125" style="2" customWidth="1"/>
    <col min="10511" max="10511" width="16.7109375" style="2" customWidth="1"/>
    <col min="10512" max="10512" width="16" style="2"/>
    <col min="10513" max="10513" width="12.140625" style="2" customWidth="1"/>
    <col min="10514" max="10514" width="4.42578125" style="2" customWidth="1"/>
    <col min="10515" max="10515" width="34.85546875" style="2" customWidth="1"/>
    <col min="10516" max="10752" width="16" style="2"/>
    <col min="10753" max="10753" width="21.42578125" style="2" customWidth="1"/>
    <col min="10754" max="10754" width="23.5703125" style="2" customWidth="1"/>
    <col min="10755" max="10755" width="15" style="2" customWidth="1"/>
    <col min="10756" max="10756" width="15.140625" style="2" customWidth="1"/>
    <col min="10757" max="10757" width="16" style="2" customWidth="1"/>
    <col min="10758" max="10758" width="16.140625" style="2" customWidth="1"/>
    <col min="10759" max="10759" width="17.140625" style="2" customWidth="1"/>
    <col min="10760" max="10760" width="15.28515625" style="2" customWidth="1"/>
    <col min="10761" max="10761" width="12.7109375" style="2" customWidth="1"/>
    <col min="10762" max="10762" width="15.140625" style="2" customWidth="1"/>
    <col min="10763" max="10763" width="15.28515625" style="2" customWidth="1"/>
    <col min="10764" max="10764" width="23.85546875" style="2" customWidth="1"/>
    <col min="10765" max="10765" width="25.5703125" style="2" customWidth="1"/>
    <col min="10766" max="10766" width="20.5703125" style="2" customWidth="1"/>
    <col min="10767" max="10767" width="16.7109375" style="2" customWidth="1"/>
    <col min="10768" max="10768" width="16" style="2"/>
    <col min="10769" max="10769" width="12.140625" style="2" customWidth="1"/>
    <col min="10770" max="10770" width="4.42578125" style="2" customWidth="1"/>
    <col min="10771" max="10771" width="34.85546875" style="2" customWidth="1"/>
    <col min="10772" max="11008" width="16" style="2"/>
    <col min="11009" max="11009" width="21.42578125" style="2" customWidth="1"/>
    <col min="11010" max="11010" width="23.5703125" style="2" customWidth="1"/>
    <col min="11011" max="11011" width="15" style="2" customWidth="1"/>
    <col min="11012" max="11012" width="15.140625" style="2" customWidth="1"/>
    <col min="11013" max="11013" width="16" style="2" customWidth="1"/>
    <col min="11014" max="11014" width="16.140625" style="2" customWidth="1"/>
    <col min="11015" max="11015" width="17.140625" style="2" customWidth="1"/>
    <col min="11016" max="11016" width="15.28515625" style="2" customWidth="1"/>
    <col min="11017" max="11017" width="12.7109375" style="2" customWidth="1"/>
    <col min="11018" max="11018" width="15.140625" style="2" customWidth="1"/>
    <col min="11019" max="11019" width="15.28515625" style="2" customWidth="1"/>
    <col min="11020" max="11020" width="23.85546875" style="2" customWidth="1"/>
    <col min="11021" max="11021" width="25.5703125" style="2" customWidth="1"/>
    <col min="11022" max="11022" width="20.5703125" style="2" customWidth="1"/>
    <col min="11023" max="11023" width="16.7109375" style="2" customWidth="1"/>
    <col min="11024" max="11024" width="16" style="2"/>
    <col min="11025" max="11025" width="12.140625" style="2" customWidth="1"/>
    <col min="11026" max="11026" width="4.42578125" style="2" customWidth="1"/>
    <col min="11027" max="11027" width="34.85546875" style="2" customWidth="1"/>
    <col min="11028" max="11264" width="16" style="2"/>
    <col min="11265" max="11265" width="21.42578125" style="2" customWidth="1"/>
    <col min="11266" max="11266" width="23.5703125" style="2" customWidth="1"/>
    <col min="11267" max="11267" width="15" style="2" customWidth="1"/>
    <col min="11268" max="11268" width="15.140625" style="2" customWidth="1"/>
    <col min="11269" max="11269" width="16" style="2" customWidth="1"/>
    <col min="11270" max="11270" width="16.140625" style="2" customWidth="1"/>
    <col min="11271" max="11271" width="17.140625" style="2" customWidth="1"/>
    <col min="11272" max="11272" width="15.28515625" style="2" customWidth="1"/>
    <col min="11273" max="11273" width="12.7109375" style="2" customWidth="1"/>
    <col min="11274" max="11274" width="15.140625" style="2" customWidth="1"/>
    <col min="11275" max="11275" width="15.28515625" style="2" customWidth="1"/>
    <col min="11276" max="11276" width="23.85546875" style="2" customWidth="1"/>
    <col min="11277" max="11277" width="25.5703125" style="2" customWidth="1"/>
    <col min="11278" max="11278" width="20.5703125" style="2" customWidth="1"/>
    <col min="11279" max="11279" width="16.7109375" style="2" customWidth="1"/>
    <col min="11280" max="11280" width="16" style="2"/>
    <col min="11281" max="11281" width="12.140625" style="2" customWidth="1"/>
    <col min="11282" max="11282" width="4.42578125" style="2" customWidth="1"/>
    <col min="11283" max="11283" width="34.85546875" style="2" customWidth="1"/>
    <col min="11284" max="11520" width="16" style="2"/>
    <col min="11521" max="11521" width="21.42578125" style="2" customWidth="1"/>
    <col min="11522" max="11522" width="23.5703125" style="2" customWidth="1"/>
    <col min="11523" max="11523" width="15" style="2" customWidth="1"/>
    <col min="11524" max="11524" width="15.140625" style="2" customWidth="1"/>
    <col min="11525" max="11525" width="16" style="2" customWidth="1"/>
    <col min="11526" max="11526" width="16.140625" style="2" customWidth="1"/>
    <col min="11527" max="11527" width="17.140625" style="2" customWidth="1"/>
    <col min="11528" max="11528" width="15.28515625" style="2" customWidth="1"/>
    <col min="11529" max="11529" width="12.7109375" style="2" customWidth="1"/>
    <col min="11530" max="11530" width="15.140625" style="2" customWidth="1"/>
    <col min="11531" max="11531" width="15.28515625" style="2" customWidth="1"/>
    <col min="11532" max="11532" width="23.85546875" style="2" customWidth="1"/>
    <col min="11533" max="11533" width="25.5703125" style="2" customWidth="1"/>
    <col min="11534" max="11534" width="20.5703125" style="2" customWidth="1"/>
    <col min="11535" max="11535" width="16.7109375" style="2" customWidth="1"/>
    <col min="11536" max="11536" width="16" style="2"/>
    <col min="11537" max="11537" width="12.140625" style="2" customWidth="1"/>
    <col min="11538" max="11538" width="4.42578125" style="2" customWidth="1"/>
    <col min="11539" max="11539" width="34.85546875" style="2" customWidth="1"/>
    <col min="11540" max="11776" width="16" style="2"/>
    <col min="11777" max="11777" width="21.42578125" style="2" customWidth="1"/>
    <col min="11778" max="11778" width="23.5703125" style="2" customWidth="1"/>
    <col min="11779" max="11779" width="15" style="2" customWidth="1"/>
    <col min="11780" max="11780" width="15.140625" style="2" customWidth="1"/>
    <col min="11781" max="11781" width="16" style="2" customWidth="1"/>
    <col min="11782" max="11782" width="16.140625" style="2" customWidth="1"/>
    <col min="11783" max="11783" width="17.140625" style="2" customWidth="1"/>
    <col min="11784" max="11784" width="15.28515625" style="2" customWidth="1"/>
    <col min="11785" max="11785" width="12.7109375" style="2" customWidth="1"/>
    <col min="11786" max="11786" width="15.140625" style="2" customWidth="1"/>
    <col min="11787" max="11787" width="15.28515625" style="2" customWidth="1"/>
    <col min="11788" max="11788" width="23.85546875" style="2" customWidth="1"/>
    <col min="11789" max="11789" width="25.5703125" style="2" customWidth="1"/>
    <col min="11790" max="11790" width="20.5703125" style="2" customWidth="1"/>
    <col min="11791" max="11791" width="16.7109375" style="2" customWidth="1"/>
    <col min="11792" max="11792" width="16" style="2"/>
    <col min="11793" max="11793" width="12.140625" style="2" customWidth="1"/>
    <col min="11794" max="11794" width="4.42578125" style="2" customWidth="1"/>
    <col min="11795" max="11795" width="34.85546875" style="2" customWidth="1"/>
    <col min="11796" max="12032" width="16" style="2"/>
    <col min="12033" max="12033" width="21.42578125" style="2" customWidth="1"/>
    <col min="12034" max="12034" width="23.5703125" style="2" customWidth="1"/>
    <col min="12035" max="12035" width="15" style="2" customWidth="1"/>
    <col min="12036" max="12036" width="15.140625" style="2" customWidth="1"/>
    <col min="12037" max="12037" width="16" style="2" customWidth="1"/>
    <col min="12038" max="12038" width="16.140625" style="2" customWidth="1"/>
    <col min="12039" max="12039" width="17.140625" style="2" customWidth="1"/>
    <col min="12040" max="12040" width="15.28515625" style="2" customWidth="1"/>
    <col min="12041" max="12041" width="12.7109375" style="2" customWidth="1"/>
    <col min="12042" max="12042" width="15.140625" style="2" customWidth="1"/>
    <col min="12043" max="12043" width="15.28515625" style="2" customWidth="1"/>
    <col min="12044" max="12044" width="23.85546875" style="2" customWidth="1"/>
    <col min="12045" max="12045" width="25.5703125" style="2" customWidth="1"/>
    <col min="12046" max="12046" width="20.5703125" style="2" customWidth="1"/>
    <col min="12047" max="12047" width="16.7109375" style="2" customWidth="1"/>
    <col min="12048" max="12048" width="16" style="2"/>
    <col min="12049" max="12049" width="12.140625" style="2" customWidth="1"/>
    <col min="12050" max="12050" width="4.42578125" style="2" customWidth="1"/>
    <col min="12051" max="12051" width="34.85546875" style="2" customWidth="1"/>
    <col min="12052" max="12288" width="16" style="2"/>
    <col min="12289" max="12289" width="21.42578125" style="2" customWidth="1"/>
    <col min="12290" max="12290" width="23.5703125" style="2" customWidth="1"/>
    <col min="12291" max="12291" width="15" style="2" customWidth="1"/>
    <col min="12292" max="12292" width="15.140625" style="2" customWidth="1"/>
    <col min="12293" max="12293" width="16" style="2" customWidth="1"/>
    <col min="12294" max="12294" width="16.140625" style="2" customWidth="1"/>
    <col min="12295" max="12295" width="17.140625" style="2" customWidth="1"/>
    <col min="12296" max="12296" width="15.28515625" style="2" customWidth="1"/>
    <col min="12297" max="12297" width="12.7109375" style="2" customWidth="1"/>
    <col min="12298" max="12298" width="15.140625" style="2" customWidth="1"/>
    <col min="12299" max="12299" width="15.28515625" style="2" customWidth="1"/>
    <col min="12300" max="12300" width="23.85546875" style="2" customWidth="1"/>
    <col min="12301" max="12301" width="25.5703125" style="2" customWidth="1"/>
    <col min="12302" max="12302" width="20.5703125" style="2" customWidth="1"/>
    <col min="12303" max="12303" width="16.7109375" style="2" customWidth="1"/>
    <col min="12304" max="12304" width="16" style="2"/>
    <col min="12305" max="12305" width="12.140625" style="2" customWidth="1"/>
    <col min="12306" max="12306" width="4.42578125" style="2" customWidth="1"/>
    <col min="12307" max="12307" width="34.85546875" style="2" customWidth="1"/>
    <col min="12308" max="12544" width="16" style="2"/>
    <col min="12545" max="12545" width="21.42578125" style="2" customWidth="1"/>
    <col min="12546" max="12546" width="23.5703125" style="2" customWidth="1"/>
    <col min="12547" max="12547" width="15" style="2" customWidth="1"/>
    <col min="12548" max="12548" width="15.140625" style="2" customWidth="1"/>
    <col min="12549" max="12549" width="16" style="2" customWidth="1"/>
    <col min="12550" max="12550" width="16.140625" style="2" customWidth="1"/>
    <col min="12551" max="12551" width="17.140625" style="2" customWidth="1"/>
    <col min="12552" max="12552" width="15.28515625" style="2" customWidth="1"/>
    <col min="12553" max="12553" width="12.7109375" style="2" customWidth="1"/>
    <col min="12554" max="12554" width="15.140625" style="2" customWidth="1"/>
    <col min="12555" max="12555" width="15.28515625" style="2" customWidth="1"/>
    <col min="12556" max="12556" width="23.85546875" style="2" customWidth="1"/>
    <col min="12557" max="12557" width="25.5703125" style="2" customWidth="1"/>
    <col min="12558" max="12558" width="20.5703125" style="2" customWidth="1"/>
    <col min="12559" max="12559" width="16.7109375" style="2" customWidth="1"/>
    <col min="12560" max="12560" width="16" style="2"/>
    <col min="12561" max="12561" width="12.140625" style="2" customWidth="1"/>
    <col min="12562" max="12562" width="4.42578125" style="2" customWidth="1"/>
    <col min="12563" max="12563" width="34.85546875" style="2" customWidth="1"/>
    <col min="12564" max="12800" width="16" style="2"/>
    <col min="12801" max="12801" width="21.42578125" style="2" customWidth="1"/>
    <col min="12802" max="12802" width="23.5703125" style="2" customWidth="1"/>
    <col min="12803" max="12803" width="15" style="2" customWidth="1"/>
    <col min="12804" max="12804" width="15.140625" style="2" customWidth="1"/>
    <col min="12805" max="12805" width="16" style="2" customWidth="1"/>
    <col min="12806" max="12806" width="16.140625" style="2" customWidth="1"/>
    <col min="12807" max="12807" width="17.140625" style="2" customWidth="1"/>
    <col min="12808" max="12808" width="15.28515625" style="2" customWidth="1"/>
    <col min="12809" max="12809" width="12.7109375" style="2" customWidth="1"/>
    <col min="12810" max="12810" width="15.140625" style="2" customWidth="1"/>
    <col min="12811" max="12811" width="15.28515625" style="2" customWidth="1"/>
    <col min="12812" max="12812" width="23.85546875" style="2" customWidth="1"/>
    <col min="12813" max="12813" width="25.5703125" style="2" customWidth="1"/>
    <col min="12814" max="12814" width="20.5703125" style="2" customWidth="1"/>
    <col min="12815" max="12815" width="16.7109375" style="2" customWidth="1"/>
    <col min="12816" max="12816" width="16" style="2"/>
    <col min="12817" max="12817" width="12.140625" style="2" customWidth="1"/>
    <col min="12818" max="12818" width="4.42578125" style="2" customWidth="1"/>
    <col min="12819" max="12819" width="34.85546875" style="2" customWidth="1"/>
    <col min="12820" max="13056" width="16" style="2"/>
    <col min="13057" max="13057" width="21.42578125" style="2" customWidth="1"/>
    <col min="13058" max="13058" width="23.5703125" style="2" customWidth="1"/>
    <col min="13059" max="13059" width="15" style="2" customWidth="1"/>
    <col min="13060" max="13060" width="15.140625" style="2" customWidth="1"/>
    <col min="13061" max="13061" width="16" style="2" customWidth="1"/>
    <col min="13062" max="13062" width="16.140625" style="2" customWidth="1"/>
    <col min="13063" max="13063" width="17.140625" style="2" customWidth="1"/>
    <col min="13064" max="13064" width="15.28515625" style="2" customWidth="1"/>
    <col min="13065" max="13065" width="12.7109375" style="2" customWidth="1"/>
    <col min="13066" max="13066" width="15.140625" style="2" customWidth="1"/>
    <col min="13067" max="13067" width="15.28515625" style="2" customWidth="1"/>
    <col min="13068" max="13068" width="23.85546875" style="2" customWidth="1"/>
    <col min="13069" max="13069" width="25.5703125" style="2" customWidth="1"/>
    <col min="13070" max="13070" width="20.5703125" style="2" customWidth="1"/>
    <col min="13071" max="13071" width="16.7109375" style="2" customWidth="1"/>
    <col min="13072" max="13072" width="16" style="2"/>
    <col min="13073" max="13073" width="12.140625" style="2" customWidth="1"/>
    <col min="13074" max="13074" width="4.42578125" style="2" customWidth="1"/>
    <col min="13075" max="13075" width="34.85546875" style="2" customWidth="1"/>
    <col min="13076" max="13312" width="16" style="2"/>
    <col min="13313" max="13313" width="21.42578125" style="2" customWidth="1"/>
    <col min="13314" max="13314" width="23.5703125" style="2" customWidth="1"/>
    <col min="13315" max="13315" width="15" style="2" customWidth="1"/>
    <col min="13316" max="13316" width="15.140625" style="2" customWidth="1"/>
    <col min="13317" max="13317" width="16" style="2" customWidth="1"/>
    <col min="13318" max="13318" width="16.140625" style="2" customWidth="1"/>
    <col min="13319" max="13319" width="17.140625" style="2" customWidth="1"/>
    <col min="13320" max="13320" width="15.28515625" style="2" customWidth="1"/>
    <col min="13321" max="13321" width="12.7109375" style="2" customWidth="1"/>
    <col min="13322" max="13322" width="15.140625" style="2" customWidth="1"/>
    <col min="13323" max="13323" width="15.28515625" style="2" customWidth="1"/>
    <col min="13324" max="13324" width="23.85546875" style="2" customWidth="1"/>
    <col min="13325" max="13325" width="25.5703125" style="2" customWidth="1"/>
    <col min="13326" max="13326" width="20.5703125" style="2" customWidth="1"/>
    <col min="13327" max="13327" width="16.7109375" style="2" customWidth="1"/>
    <col min="13328" max="13328" width="16" style="2"/>
    <col min="13329" max="13329" width="12.140625" style="2" customWidth="1"/>
    <col min="13330" max="13330" width="4.42578125" style="2" customWidth="1"/>
    <col min="13331" max="13331" width="34.85546875" style="2" customWidth="1"/>
    <col min="13332" max="13568" width="16" style="2"/>
    <col min="13569" max="13569" width="21.42578125" style="2" customWidth="1"/>
    <col min="13570" max="13570" width="23.5703125" style="2" customWidth="1"/>
    <col min="13571" max="13571" width="15" style="2" customWidth="1"/>
    <col min="13572" max="13572" width="15.140625" style="2" customWidth="1"/>
    <col min="13573" max="13573" width="16" style="2" customWidth="1"/>
    <col min="13574" max="13574" width="16.140625" style="2" customWidth="1"/>
    <col min="13575" max="13575" width="17.140625" style="2" customWidth="1"/>
    <col min="13576" max="13576" width="15.28515625" style="2" customWidth="1"/>
    <col min="13577" max="13577" width="12.7109375" style="2" customWidth="1"/>
    <col min="13578" max="13578" width="15.140625" style="2" customWidth="1"/>
    <col min="13579" max="13579" width="15.28515625" style="2" customWidth="1"/>
    <col min="13580" max="13580" width="23.85546875" style="2" customWidth="1"/>
    <col min="13581" max="13581" width="25.5703125" style="2" customWidth="1"/>
    <col min="13582" max="13582" width="20.5703125" style="2" customWidth="1"/>
    <col min="13583" max="13583" width="16.7109375" style="2" customWidth="1"/>
    <col min="13584" max="13584" width="16" style="2"/>
    <col min="13585" max="13585" width="12.140625" style="2" customWidth="1"/>
    <col min="13586" max="13586" width="4.42578125" style="2" customWidth="1"/>
    <col min="13587" max="13587" width="34.85546875" style="2" customWidth="1"/>
    <col min="13588" max="13824" width="16" style="2"/>
    <col min="13825" max="13825" width="21.42578125" style="2" customWidth="1"/>
    <col min="13826" max="13826" width="23.5703125" style="2" customWidth="1"/>
    <col min="13827" max="13827" width="15" style="2" customWidth="1"/>
    <col min="13828" max="13828" width="15.140625" style="2" customWidth="1"/>
    <col min="13829" max="13829" width="16" style="2" customWidth="1"/>
    <col min="13830" max="13830" width="16.140625" style="2" customWidth="1"/>
    <col min="13831" max="13831" width="17.140625" style="2" customWidth="1"/>
    <col min="13832" max="13832" width="15.28515625" style="2" customWidth="1"/>
    <col min="13833" max="13833" width="12.7109375" style="2" customWidth="1"/>
    <col min="13834" max="13834" width="15.140625" style="2" customWidth="1"/>
    <col min="13835" max="13835" width="15.28515625" style="2" customWidth="1"/>
    <col min="13836" max="13836" width="23.85546875" style="2" customWidth="1"/>
    <col min="13837" max="13837" width="25.5703125" style="2" customWidth="1"/>
    <col min="13838" max="13838" width="20.5703125" style="2" customWidth="1"/>
    <col min="13839" max="13839" width="16.7109375" style="2" customWidth="1"/>
    <col min="13840" max="13840" width="16" style="2"/>
    <col min="13841" max="13841" width="12.140625" style="2" customWidth="1"/>
    <col min="13842" max="13842" width="4.42578125" style="2" customWidth="1"/>
    <col min="13843" max="13843" width="34.85546875" style="2" customWidth="1"/>
    <col min="13844" max="14080" width="16" style="2"/>
    <col min="14081" max="14081" width="21.42578125" style="2" customWidth="1"/>
    <col min="14082" max="14082" width="23.5703125" style="2" customWidth="1"/>
    <col min="14083" max="14083" width="15" style="2" customWidth="1"/>
    <col min="14084" max="14084" width="15.140625" style="2" customWidth="1"/>
    <col min="14085" max="14085" width="16" style="2" customWidth="1"/>
    <col min="14086" max="14086" width="16.140625" style="2" customWidth="1"/>
    <col min="14087" max="14087" width="17.140625" style="2" customWidth="1"/>
    <col min="14088" max="14088" width="15.28515625" style="2" customWidth="1"/>
    <col min="14089" max="14089" width="12.7109375" style="2" customWidth="1"/>
    <col min="14090" max="14090" width="15.140625" style="2" customWidth="1"/>
    <col min="14091" max="14091" width="15.28515625" style="2" customWidth="1"/>
    <col min="14092" max="14092" width="23.85546875" style="2" customWidth="1"/>
    <col min="14093" max="14093" width="25.5703125" style="2" customWidth="1"/>
    <col min="14094" max="14094" width="20.5703125" style="2" customWidth="1"/>
    <col min="14095" max="14095" width="16.7109375" style="2" customWidth="1"/>
    <col min="14096" max="14096" width="16" style="2"/>
    <col min="14097" max="14097" width="12.140625" style="2" customWidth="1"/>
    <col min="14098" max="14098" width="4.42578125" style="2" customWidth="1"/>
    <col min="14099" max="14099" width="34.85546875" style="2" customWidth="1"/>
    <col min="14100" max="14336" width="16" style="2"/>
    <col min="14337" max="14337" width="21.42578125" style="2" customWidth="1"/>
    <col min="14338" max="14338" width="23.5703125" style="2" customWidth="1"/>
    <col min="14339" max="14339" width="15" style="2" customWidth="1"/>
    <col min="14340" max="14340" width="15.140625" style="2" customWidth="1"/>
    <col min="14341" max="14341" width="16" style="2" customWidth="1"/>
    <col min="14342" max="14342" width="16.140625" style="2" customWidth="1"/>
    <col min="14343" max="14343" width="17.140625" style="2" customWidth="1"/>
    <col min="14344" max="14344" width="15.28515625" style="2" customWidth="1"/>
    <col min="14345" max="14345" width="12.7109375" style="2" customWidth="1"/>
    <col min="14346" max="14346" width="15.140625" style="2" customWidth="1"/>
    <col min="14347" max="14347" width="15.28515625" style="2" customWidth="1"/>
    <col min="14348" max="14348" width="23.85546875" style="2" customWidth="1"/>
    <col min="14349" max="14349" width="25.5703125" style="2" customWidth="1"/>
    <col min="14350" max="14350" width="20.5703125" style="2" customWidth="1"/>
    <col min="14351" max="14351" width="16.7109375" style="2" customWidth="1"/>
    <col min="14352" max="14352" width="16" style="2"/>
    <col min="14353" max="14353" width="12.140625" style="2" customWidth="1"/>
    <col min="14354" max="14354" width="4.42578125" style="2" customWidth="1"/>
    <col min="14355" max="14355" width="34.85546875" style="2" customWidth="1"/>
    <col min="14356" max="14592" width="16" style="2"/>
    <col min="14593" max="14593" width="21.42578125" style="2" customWidth="1"/>
    <col min="14594" max="14594" width="23.5703125" style="2" customWidth="1"/>
    <col min="14595" max="14595" width="15" style="2" customWidth="1"/>
    <col min="14596" max="14596" width="15.140625" style="2" customWidth="1"/>
    <col min="14597" max="14597" width="16" style="2" customWidth="1"/>
    <col min="14598" max="14598" width="16.140625" style="2" customWidth="1"/>
    <col min="14599" max="14599" width="17.140625" style="2" customWidth="1"/>
    <col min="14600" max="14600" width="15.28515625" style="2" customWidth="1"/>
    <col min="14601" max="14601" width="12.7109375" style="2" customWidth="1"/>
    <col min="14602" max="14602" width="15.140625" style="2" customWidth="1"/>
    <col min="14603" max="14603" width="15.28515625" style="2" customWidth="1"/>
    <col min="14604" max="14604" width="23.85546875" style="2" customWidth="1"/>
    <col min="14605" max="14605" width="25.5703125" style="2" customWidth="1"/>
    <col min="14606" max="14606" width="20.5703125" style="2" customWidth="1"/>
    <col min="14607" max="14607" width="16.7109375" style="2" customWidth="1"/>
    <col min="14608" max="14608" width="16" style="2"/>
    <col min="14609" max="14609" width="12.140625" style="2" customWidth="1"/>
    <col min="14610" max="14610" width="4.42578125" style="2" customWidth="1"/>
    <col min="14611" max="14611" width="34.85546875" style="2" customWidth="1"/>
    <col min="14612" max="14848" width="16" style="2"/>
    <col min="14849" max="14849" width="21.42578125" style="2" customWidth="1"/>
    <col min="14850" max="14850" width="23.5703125" style="2" customWidth="1"/>
    <col min="14851" max="14851" width="15" style="2" customWidth="1"/>
    <col min="14852" max="14852" width="15.140625" style="2" customWidth="1"/>
    <col min="14853" max="14853" width="16" style="2" customWidth="1"/>
    <col min="14854" max="14854" width="16.140625" style="2" customWidth="1"/>
    <col min="14855" max="14855" width="17.140625" style="2" customWidth="1"/>
    <col min="14856" max="14856" width="15.28515625" style="2" customWidth="1"/>
    <col min="14857" max="14857" width="12.7109375" style="2" customWidth="1"/>
    <col min="14858" max="14858" width="15.140625" style="2" customWidth="1"/>
    <col min="14859" max="14859" width="15.28515625" style="2" customWidth="1"/>
    <col min="14860" max="14860" width="23.85546875" style="2" customWidth="1"/>
    <col min="14861" max="14861" width="25.5703125" style="2" customWidth="1"/>
    <col min="14862" max="14862" width="20.5703125" style="2" customWidth="1"/>
    <col min="14863" max="14863" width="16.7109375" style="2" customWidth="1"/>
    <col min="14864" max="14864" width="16" style="2"/>
    <col min="14865" max="14865" width="12.140625" style="2" customWidth="1"/>
    <col min="14866" max="14866" width="4.42578125" style="2" customWidth="1"/>
    <col min="14867" max="14867" width="34.85546875" style="2" customWidth="1"/>
    <col min="14868" max="15104" width="16" style="2"/>
    <col min="15105" max="15105" width="21.42578125" style="2" customWidth="1"/>
    <col min="15106" max="15106" width="23.5703125" style="2" customWidth="1"/>
    <col min="15107" max="15107" width="15" style="2" customWidth="1"/>
    <col min="15108" max="15108" width="15.140625" style="2" customWidth="1"/>
    <col min="15109" max="15109" width="16" style="2" customWidth="1"/>
    <col min="15110" max="15110" width="16.140625" style="2" customWidth="1"/>
    <col min="15111" max="15111" width="17.140625" style="2" customWidth="1"/>
    <col min="15112" max="15112" width="15.28515625" style="2" customWidth="1"/>
    <col min="15113" max="15113" width="12.7109375" style="2" customWidth="1"/>
    <col min="15114" max="15114" width="15.140625" style="2" customWidth="1"/>
    <col min="15115" max="15115" width="15.28515625" style="2" customWidth="1"/>
    <col min="15116" max="15116" width="23.85546875" style="2" customWidth="1"/>
    <col min="15117" max="15117" width="25.5703125" style="2" customWidth="1"/>
    <col min="15118" max="15118" width="20.5703125" style="2" customWidth="1"/>
    <col min="15119" max="15119" width="16.7109375" style="2" customWidth="1"/>
    <col min="15120" max="15120" width="16" style="2"/>
    <col min="15121" max="15121" width="12.140625" style="2" customWidth="1"/>
    <col min="15122" max="15122" width="4.42578125" style="2" customWidth="1"/>
    <col min="15123" max="15123" width="34.85546875" style="2" customWidth="1"/>
    <col min="15124" max="15360" width="16" style="2"/>
    <col min="15361" max="15361" width="21.42578125" style="2" customWidth="1"/>
    <col min="15362" max="15362" width="23.5703125" style="2" customWidth="1"/>
    <col min="15363" max="15363" width="15" style="2" customWidth="1"/>
    <col min="15364" max="15364" width="15.140625" style="2" customWidth="1"/>
    <col min="15365" max="15365" width="16" style="2" customWidth="1"/>
    <col min="15366" max="15366" width="16.140625" style="2" customWidth="1"/>
    <col min="15367" max="15367" width="17.140625" style="2" customWidth="1"/>
    <col min="15368" max="15368" width="15.28515625" style="2" customWidth="1"/>
    <col min="15369" max="15369" width="12.7109375" style="2" customWidth="1"/>
    <col min="15370" max="15370" width="15.140625" style="2" customWidth="1"/>
    <col min="15371" max="15371" width="15.28515625" style="2" customWidth="1"/>
    <col min="15372" max="15372" width="23.85546875" style="2" customWidth="1"/>
    <col min="15373" max="15373" width="25.5703125" style="2" customWidth="1"/>
    <col min="15374" max="15374" width="20.5703125" style="2" customWidth="1"/>
    <col min="15375" max="15375" width="16.7109375" style="2" customWidth="1"/>
    <col min="15376" max="15376" width="16" style="2"/>
    <col min="15377" max="15377" width="12.140625" style="2" customWidth="1"/>
    <col min="15378" max="15378" width="4.42578125" style="2" customWidth="1"/>
    <col min="15379" max="15379" width="34.85546875" style="2" customWidth="1"/>
    <col min="15380" max="15616" width="16" style="2"/>
    <col min="15617" max="15617" width="21.42578125" style="2" customWidth="1"/>
    <col min="15618" max="15618" width="23.5703125" style="2" customWidth="1"/>
    <col min="15619" max="15619" width="15" style="2" customWidth="1"/>
    <col min="15620" max="15620" width="15.140625" style="2" customWidth="1"/>
    <col min="15621" max="15621" width="16" style="2" customWidth="1"/>
    <col min="15622" max="15622" width="16.140625" style="2" customWidth="1"/>
    <col min="15623" max="15623" width="17.140625" style="2" customWidth="1"/>
    <col min="15624" max="15624" width="15.28515625" style="2" customWidth="1"/>
    <col min="15625" max="15625" width="12.7109375" style="2" customWidth="1"/>
    <col min="15626" max="15626" width="15.140625" style="2" customWidth="1"/>
    <col min="15627" max="15627" width="15.28515625" style="2" customWidth="1"/>
    <col min="15628" max="15628" width="23.85546875" style="2" customWidth="1"/>
    <col min="15629" max="15629" width="25.5703125" style="2" customWidth="1"/>
    <col min="15630" max="15630" width="20.5703125" style="2" customWidth="1"/>
    <col min="15631" max="15631" width="16.7109375" style="2" customWidth="1"/>
    <col min="15632" max="15632" width="16" style="2"/>
    <col min="15633" max="15633" width="12.140625" style="2" customWidth="1"/>
    <col min="15634" max="15634" width="4.42578125" style="2" customWidth="1"/>
    <col min="15635" max="15635" width="34.85546875" style="2" customWidth="1"/>
    <col min="15636" max="15872" width="16" style="2"/>
    <col min="15873" max="15873" width="21.42578125" style="2" customWidth="1"/>
    <col min="15874" max="15874" width="23.5703125" style="2" customWidth="1"/>
    <col min="15875" max="15875" width="15" style="2" customWidth="1"/>
    <col min="15876" max="15876" width="15.140625" style="2" customWidth="1"/>
    <col min="15877" max="15877" width="16" style="2" customWidth="1"/>
    <col min="15878" max="15878" width="16.140625" style="2" customWidth="1"/>
    <col min="15879" max="15879" width="17.140625" style="2" customWidth="1"/>
    <col min="15880" max="15880" width="15.28515625" style="2" customWidth="1"/>
    <col min="15881" max="15881" width="12.7109375" style="2" customWidth="1"/>
    <col min="15882" max="15882" width="15.140625" style="2" customWidth="1"/>
    <col min="15883" max="15883" width="15.28515625" style="2" customWidth="1"/>
    <col min="15884" max="15884" width="23.85546875" style="2" customWidth="1"/>
    <col min="15885" max="15885" width="25.5703125" style="2" customWidth="1"/>
    <col min="15886" max="15886" width="20.5703125" style="2" customWidth="1"/>
    <col min="15887" max="15887" width="16.7109375" style="2" customWidth="1"/>
    <col min="15888" max="15888" width="16" style="2"/>
    <col min="15889" max="15889" width="12.140625" style="2" customWidth="1"/>
    <col min="15890" max="15890" width="4.42578125" style="2" customWidth="1"/>
    <col min="15891" max="15891" width="34.85546875" style="2" customWidth="1"/>
    <col min="15892" max="16128" width="16" style="2"/>
    <col min="16129" max="16129" width="21.42578125" style="2" customWidth="1"/>
    <col min="16130" max="16130" width="23.5703125" style="2" customWidth="1"/>
    <col min="16131" max="16131" width="15" style="2" customWidth="1"/>
    <col min="16132" max="16132" width="15.140625" style="2" customWidth="1"/>
    <col min="16133" max="16133" width="16" style="2" customWidth="1"/>
    <col min="16134" max="16134" width="16.140625" style="2" customWidth="1"/>
    <col min="16135" max="16135" width="17.140625" style="2" customWidth="1"/>
    <col min="16136" max="16136" width="15.28515625" style="2" customWidth="1"/>
    <col min="16137" max="16137" width="12.7109375" style="2" customWidth="1"/>
    <col min="16138" max="16138" width="15.140625" style="2" customWidth="1"/>
    <col min="16139" max="16139" width="15.28515625" style="2" customWidth="1"/>
    <col min="16140" max="16140" width="23.85546875" style="2" customWidth="1"/>
    <col min="16141" max="16141" width="25.5703125" style="2" customWidth="1"/>
    <col min="16142" max="16142" width="20.5703125" style="2" customWidth="1"/>
    <col min="16143" max="16143" width="16.7109375" style="2" customWidth="1"/>
    <col min="16144" max="16144" width="16" style="2"/>
    <col min="16145" max="16145" width="12.140625" style="2" customWidth="1"/>
    <col min="16146" max="16146" width="4.42578125" style="2" customWidth="1"/>
    <col min="16147" max="16147" width="34.85546875" style="2" customWidth="1"/>
    <col min="16148" max="16384" width="16" style="2"/>
  </cols>
  <sheetData>
    <row r="1" spans="1:28" ht="15">
      <c r="S1" s="39"/>
      <c r="T1" s="1"/>
      <c r="U1" s="1"/>
      <c r="V1" s="1"/>
      <c r="W1" s="1"/>
      <c r="X1" s="1"/>
      <c r="Y1" s="1"/>
      <c r="Z1" s="1"/>
      <c r="AA1" s="1"/>
      <c r="AB1" s="1"/>
    </row>
    <row r="2" spans="1:28" ht="20.25" customHeight="1">
      <c r="A2" s="263" t="s">
        <v>238</v>
      </c>
      <c r="B2" s="264" t="str">
        <f>A4</f>
        <v>EnfCor (IAM fatal+No fatal</v>
      </c>
      <c r="C2" s="265"/>
      <c r="D2" s="266"/>
      <c r="E2" s="266"/>
      <c r="F2" s="266"/>
      <c r="G2" s="266"/>
      <c r="O2" s="267"/>
      <c r="P2" s="268"/>
      <c r="Q2" s="10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5.5">
      <c r="A3" s="71" t="s">
        <v>155</v>
      </c>
      <c r="B3" s="405" t="s">
        <v>156</v>
      </c>
      <c r="C3" s="405"/>
      <c r="D3" s="405"/>
      <c r="E3" s="405" t="s">
        <v>157</v>
      </c>
      <c r="F3" s="405"/>
      <c r="G3" s="405"/>
      <c r="H3" s="269" t="s">
        <v>128</v>
      </c>
      <c r="I3" s="406" t="s">
        <v>129</v>
      </c>
      <c r="J3" s="407"/>
      <c r="K3" s="408"/>
      <c r="L3" s="406" t="s">
        <v>130</v>
      </c>
      <c r="M3" s="408"/>
      <c r="N3" s="270" t="s">
        <v>131</v>
      </c>
      <c r="O3" s="268"/>
      <c r="T3" s="1"/>
      <c r="U3" s="1"/>
      <c r="W3" s="1"/>
      <c r="X3" s="1"/>
      <c r="Y3" s="1"/>
      <c r="Z3" s="1"/>
      <c r="AA3" s="1"/>
      <c r="AB3" s="1"/>
    </row>
    <row r="4" spans="1:28" ht="25.5">
      <c r="A4" s="72" t="s">
        <v>229</v>
      </c>
      <c r="B4" s="73" t="s">
        <v>158</v>
      </c>
      <c r="C4" s="73" t="s">
        <v>159</v>
      </c>
      <c r="D4" s="73" t="s">
        <v>1</v>
      </c>
      <c r="E4" s="73" t="s">
        <v>158</v>
      </c>
      <c r="F4" s="73" t="s">
        <v>159</v>
      </c>
      <c r="G4" s="73" t="s">
        <v>1</v>
      </c>
      <c r="H4" s="271" t="s">
        <v>133</v>
      </c>
      <c r="I4" s="272" t="s">
        <v>239</v>
      </c>
      <c r="J4" s="273" t="s">
        <v>240</v>
      </c>
      <c r="K4" s="272" t="s">
        <v>1</v>
      </c>
      <c r="L4" s="274" t="s">
        <v>239</v>
      </c>
      <c r="M4" s="275" t="s">
        <v>241</v>
      </c>
      <c r="N4" s="276" t="s">
        <v>133</v>
      </c>
      <c r="O4" s="268"/>
      <c r="P4" s="2" t="s">
        <v>134</v>
      </c>
      <c r="Q4" s="2" t="s">
        <v>134</v>
      </c>
      <c r="T4" s="1"/>
      <c r="U4" s="1"/>
      <c r="W4" s="1"/>
      <c r="X4" s="1"/>
      <c r="Y4" s="1"/>
      <c r="Z4" s="1"/>
      <c r="AA4" s="1"/>
      <c r="AB4" s="1"/>
    </row>
    <row r="5" spans="1:28">
      <c r="A5" s="106" t="s">
        <v>3</v>
      </c>
      <c r="B5" s="74">
        <v>205</v>
      </c>
      <c r="C5" s="75">
        <v>4923</v>
      </c>
      <c r="D5" s="76">
        <v>5128</v>
      </c>
      <c r="E5" s="74">
        <v>248</v>
      </c>
      <c r="F5" s="75">
        <v>4875</v>
      </c>
      <c r="G5" s="76">
        <v>5123</v>
      </c>
      <c r="H5" s="278">
        <v>3.8</v>
      </c>
      <c r="I5" s="279">
        <f t="shared" ref="I5:I9" si="0">D5*H5</f>
        <v>19486.399999999998</v>
      </c>
      <c r="J5" s="279">
        <f t="shared" ref="J5:J9" si="1">G5*H5</f>
        <v>19467.399999999998</v>
      </c>
      <c r="K5" s="279">
        <f>I5+J5</f>
        <v>38953.799999999996</v>
      </c>
      <c r="L5" s="280">
        <f t="shared" ref="L5:L10" si="2">B5/I5</f>
        <v>1.05201576484112E-2</v>
      </c>
      <c r="M5" s="280">
        <f t="shared" ref="M5:M10" si="3">E5/J5</f>
        <v>1.273924612428984E-2</v>
      </c>
      <c r="N5" s="281">
        <v>62</v>
      </c>
      <c r="O5" s="282">
        <f>N5*(D5+G5)</f>
        <v>635562</v>
      </c>
      <c r="P5" s="283" t="str">
        <f t="shared" ref="P5:P10" si="4">CONCATENATE(B5," ",$P$4," ",D5)</f>
        <v>205 / 5128</v>
      </c>
      <c r="Q5" s="283" t="str">
        <f t="shared" ref="Q5:Q10" si="5">CONCATENATE(E5," ",$Q$4," ",G5)</f>
        <v>248 / 5123</v>
      </c>
      <c r="T5" s="1"/>
      <c r="U5" s="1"/>
      <c r="W5" s="1"/>
      <c r="X5" s="1"/>
      <c r="Y5" s="1"/>
      <c r="Z5" s="1"/>
      <c r="AA5" s="1"/>
      <c r="AB5" s="1"/>
    </row>
    <row r="6" spans="1:28">
      <c r="A6" s="106" t="s">
        <v>4</v>
      </c>
      <c r="B6" s="74">
        <v>310</v>
      </c>
      <c r="C6" s="75">
        <v>5261</v>
      </c>
      <c r="D6" s="76">
        <v>5571</v>
      </c>
      <c r="E6" s="74">
        <v>337</v>
      </c>
      <c r="F6" s="75">
        <v>5232</v>
      </c>
      <c r="G6" s="76">
        <v>5569</v>
      </c>
      <c r="H6" s="278">
        <v>5</v>
      </c>
      <c r="I6" s="279">
        <f t="shared" si="0"/>
        <v>27855</v>
      </c>
      <c r="J6" s="279">
        <f t="shared" si="1"/>
        <v>27845</v>
      </c>
      <c r="K6" s="279">
        <f t="shared" ref="K6:K9" si="6">I6+J6</f>
        <v>55700</v>
      </c>
      <c r="L6" s="280">
        <f t="shared" si="2"/>
        <v>1.1129061209836654E-2</v>
      </c>
      <c r="M6" s="280">
        <f t="shared" si="3"/>
        <v>1.2102711438319267E-2</v>
      </c>
      <c r="N6" s="281">
        <v>66</v>
      </c>
      <c r="O6" s="282">
        <f t="shared" ref="O6:O9" si="7">N6*(D6+G6)</f>
        <v>735240</v>
      </c>
      <c r="P6" s="283" t="str">
        <f t="shared" si="4"/>
        <v>310 / 5571</v>
      </c>
      <c r="Q6" s="283" t="str">
        <f t="shared" si="5"/>
        <v>337 / 5569</v>
      </c>
      <c r="T6" s="1"/>
      <c r="U6" s="1"/>
      <c r="W6" s="1"/>
      <c r="X6" s="1"/>
      <c r="Y6" s="1"/>
      <c r="Z6" s="1"/>
      <c r="AA6" s="1"/>
      <c r="AB6" s="1"/>
    </row>
    <row r="7" spans="1:28">
      <c r="A7" s="106" t="s">
        <v>259</v>
      </c>
      <c r="B7" s="74">
        <v>164</v>
      </c>
      <c r="C7" s="75">
        <v>2441</v>
      </c>
      <c r="D7" s="76">
        <v>2605</v>
      </c>
      <c r="E7" s="74">
        <v>202</v>
      </c>
      <c r="F7" s="75">
        <v>2431</v>
      </c>
      <c r="G7" s="76">
        <v>2633</v>
      </c>
      <c r="H7" s="278">
        <v>2.8</v>
      </c>
      <c r="I7" s="279">
        <f t="shared" si="0"/>
        <v>7293.9999999999991</v>
      </c>
      <c r="J7" s="279">
        <f t="shared" si="1"/>
        <v>7372.4</v>
      </c>
      <c r="K7" s="279">
        <f t="shared" si="6"/>
        <v>14666.399999999998</v>
      </c>
      <c r="L7" s="280">
        <f t="shared" si="2"/>
        <v>2.2484233616671241E-2</v>
      </c>
      <c r="M7" s="280">
        <f t="shared" si="3"/>
        <v>2.7399489989691283E-2</v>
      </c>
      <c r="N7" s="281">
        <v>62</v>
      </c>
      <c r="O7" s="282">
        <f t="shared" si="7"/>
        <v>324756</v>
      </c>
      <c r="P7" s="283" t="str">
        <f t="shared" si="4"/>
        <v>164 / 2605</v>
      </c>
      <c r="Q7" s="283" t="str">
        <f t="shared" si="5"/>
        <v>202 / 2633</v>
      </c>
      <c r="T7" s="1"/>
      <c r="U7" s="1"/>
      <c r="W7" s="1"/>
      <c r="X7" s="1"/>
      <c r="Y7" s="1"/>
      <c r="Z7" s="1"/>
      <c r="AA7" s="1"/>
      <c r="AB7" s="1"/>
    </row>
    <row r="8" spans="1:28">
      <c r="A8" s="107" t="s">
        <v>5</v>
      </c>
      <c r="B8" s="74">
        <v>426</v>
      </c>
      <c r="C8" s="75">
        <v>2645</v>
      </c>
      <c r="D8" s="76">
        <v>3071</v>
      </c>
      <c r="E8" s="74">
        <v>259</v>
      </c>
      <c r="F8" s="75">
        <v>1290</v>
      </c>
      <c r="G8" s="76">
        <v>1549</v>
      </c>
      <c r="H8" s="278">
        <v>10</v>
      </c>
      <c r="I8" s="279">
        <f t="shared" si="0"/>
        <v>30710</v>
      </c>
      <c r="J8" s="279">
        <f t="shared" si="1"/>
        <v>15490</v>
      </c>
      <c r="K8" s="279">
        <f t="shared" si="6"/>
        <v>46200</v>
      </c>
      <c r="L8" s="280">
        <f t="shared" si="2"/>
        <v>1.3871703028329534E-2</v>
      </c>
      <c r="M8" s="280">
        <f t="shared" si="3"/>
        <v>1.672046481601033E-2</v>
      </c>
      <c r="N8" s="281">
        <v>53</v>
      </c>
      <c r="O8" s="282">
        <f t="shared" si="7"/>
        <v>244860</v>
      </c>
      <c r="P8" s="283" t="str">
        <f t="shared" si="4"/>
        <v>426 / 3071</v>
      </c>
      <c r="Q8" s="283" t="str">
        <f t="shared" si="5"/>
        <v>259 / 1549</v>
      </c>
      <c r="T8" s="1"/>
      <c r="U8" s="1"/>
      <c r="W8" s="1"/>
      <c r="X8" s="1"/>
      <c r="Y8" s="1"/>
      <c r="Z8" s="1"/>
      <c r="AA8" s="1"/>
      <c r="AB8" s="1"/>
    </row>
    <row r="9" spans="1:28">
      <c r="A9" s="107" t="s">
        <v>6</v>
      </c>
      <c r="B9" s="74">
        <v>77</v>
      </c>
      <c r="C9" s="75">
        <v>892</v>
      </c>
      <c r="D9" s="76">
        <v>892</v>
      </c>
      <c r="E9" s="74">
        <v>90</v>
      </c>
      <c r="F9" s="75">
        <v>809</v>
      </c>
      <c r="G9" s="76">
        <v>899</v>
      </c>
      <c r="H9" s="278">
        <v>5.6</v>
      </c>
      <c r="I9" s="279">
        <f t="shared" si="0"/>
        <v>4995.2</v>
      </c>
      <c r="J9" s="279">
        <f t="shared" si="1"/>
        <v>5034.3999999999996</v>
      </c>
      <c r="K9" s="279">
        <f t="shared" si="6"/>
        <v>10029.599999999999</v>
      </c>
      <c r="L9" s="280">
        <f t="shared" si="2"/>
        <v>1.5414798206278028E-2</v>
      </c>
      <c r="M9" s="280">
        <f t="shared" si="3"/>
        <v>1.7877006197362148E-2</v>
      </c>
      <c r="N9" s="281">
        <v>60</v>
      </c>
      <c r="O9" s="282">
        <f t="shared" si="7"/>
        <v>107460</v>
      </c>
      <c r="P9" s="283" t="str">
        <f t="shared" si="4"/>
        <v>77 / 892</v>
      </c>
      <c r="Q9" s="283" t="str">
        <f t="shared" si="5"/>
        <v>90 / 899</v>
      </c>
      <c r="T9" s="1"/>
      <c r="U9" s="1"/>
      <c r="W9" s="1"/>
      <c r="X9" s="1"/>
      <c r="Y9" s="1"/>
      <c r="Z9" s="1"/>
      <c r="AA9" s="1"/>
      <c r="AB9" s="1"/>
    </row>
    <row r="10" spans="1:28">
      <c r="A10" s="77">
        <f>COUNT(B5:B9)</f>
        <v>5</v>
      </c>
      <c r="B10" s="359">
        <f t="shared" ref="B10:G10" si="8">SUM(B5:B9)</f>
        <v>1182</v>
      </c>
      <c r="C10" s="359">
        <f t="shared" si="8"/>
        <v>16162</v>
      </c>
      <c r="D10" s="359">
        <f t="shared" si="8"/>
        <v>17267</v>
      </c>
      <c r="E10" s="359">
        <f t="shared" si="8"/>
        <v>1136</v>
      </c>
      <c r="F10" s="359">
        <f t="shared" si="8"/>
        <v>14637</v>
      </c>
      <c r="G10" s="359">
        <f t="shared" si="8"/>
        <v>15773</v>
      </c>
      <c r="H10" s="284">
        <f>K10/(D10+G10)</f>
        <v>5.0105871670702173</v>
      </c>
      <c r="I10" s="285">
        <f>SUM(I5:I9)</f>
        <v>90340.599999999991</v>
      </c>
      <c r="J10" s="285">
        <f>SUM(J5:J9)</f>
        <v>75209.199999999983</v>
      </c>
      <c r="K10" s="285">
        <f>SUM(K5:K9)</f>
        <v>165549.79999999999</v>
      </c>
      <c r="L10" s="286">
        <f t="shared" si="2"/>
        <v>1.3083818349667814E-2</v>
      </c>
      <c r="M10" s="286">
        <f t="shared" si="3"/>
        <v>1.5104535083473834E-2</v>
      </c>
      <c r="N10" s="287">
        <f>O10/(D10+G10)</f>
        <v>61.981779661016951</v>
      </c>
      <c r="O10" s="288">
        <f>SUM(O5:O9)</f>
        <v>2047878</v>
      </c>
      <c r="P10" s="289" t="str">
        <f t="shared" si="4"/>
        <v>1182 / 17267</v>
      </c>
      <c r="Q10" s="289" t="str">
        <f t="shared" si="5"/>
        <v>1136 / 15773</v>
      </c>
      <c r="T10" s="1"/>
      <c r="U10" s="1"/>
      <c r="W10" s="1"/>
      <c r="X10" s="1"/>
      <c r="Y10" s="1"/>
      <c r="Z10" s="1"/>
      <c r="AA10" s="1"/>
      <c r="AB10" s="1"/>
    </row>
    <row r="11" spans="1:28" ht="15.75" thickBot="1">
      <c r="B11" s="2"/>
      <c r="C11" s="2"/>
      <c r="E11" s="4"/>
      <c r="F11" s="3"/>
      <c r="S11" s="39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thickBot="1">
      <c r="A12" s="1"/>
      <c r="B12" s="83" t="s">
        <v>117</v>
      </c>
      <c r="C12" s="290">
        <v>7.5682589653815871E-2</v>
      </c>
      <c r="D12" s="409" t="s">
        <v>118</v>
      </c>
      <c r="E12" s="410"/>
      <c r="F12" s="411"/>
      <c r="S12" s="39"/>
      <c r="T12" s="1"/>
      <c r="U12" s="1"/>
      <c r="V12" s="1"/>
      <c r="W12" s="1"/>
      <c r="X12" s="1"/>
      <c r="Y12" s="1"/>
      <c r="Z12" s="1"/>
      <c r="AA12" s="1"/>
      <c r="AB12" s="1"/>
    </row>
    <row r="13" spans="1:28" ht="26.25" thickBot="1">
      <c r="A13" s="291">
        <f>I40</f>
        <v>1.5104535083473834E-2</v>
      </c>
      <c r="B13" s="292" t="s">
        <v>160</v>
      </c>
      <c r="C13" s="23"/>
      <c r="D13" s="21" t="s">
        <v>119</v>
      </c>
      <c r="E13" s="22" t="s">
        <v>161</v>
      </c>
      <c r="F13" s="21" t="s">
        <v>162</v>
      </c>
      <c r="S13" s="39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thickBot="1">
      <c r="A14" s="293">
        <f>E40</f>
        <v>5.0105871670702173</v>
      </c>
      <c r="B14" s="294" t="s">
        <v>163</v>
      </c>
      <c r="C14" s="23"/>
      <c r="D14" s="295">
        <v>0.85</v>
      </c>
      <c r="E14" s="296">
        <v>0.79</v>
      </c>
      <c r="F14" s="297">
        <v>0.92</v>
      </c>
      <c r="G14" s="23" t="s">
        <v>95</v>
      </c>
      <c r="S14" s="39"/>
      <c r="T14" s="1"/>
      <c r="U14" s="1"/>
      <c r="V14" s="1"/>
      <c r="W14" s="1"/>
      <c r="X14" s="1"/>
      <c r="Y14" s="1"/>
      <c r="Z14" s="1"/>
      <c r="AA14" s="1"/>
      <c r="AB14" s="1"/>
    </row>
    <row r="15" spans="1:28" ht="15" hidden="1">
      <c r="A15" s="85"/>
      <c r="B15" s="84"/>
      <c r="C15" s="1"/>
      <c r="D15" s="1"/>
      <c r="E15" s="1"/>
      <c r="F15" s="1"/>
      <c r="G15" s="1"/>
      <c r="S15" s="39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hidden="1" thickBot="1">
      <c r="A16" s="85"/>
      <c r="B16" s="86"/>
      <c r="C16" s="24"/>
      <c r="D16" s="87">
        <f>C12*D14</f>
        <v>6.4330201205743495E-2</v>
      </c>
      <c r="E16" s="88">
        <f>C12*E14</f>
        <v>5.9789245826514542E-2</v>
      </c>
      <c r="F16" s="25">
        <f>C12*F14</f>
        <v>6.96279824815106E-2</v>
      </c>
      <c r="G16" s="1"/>
      <c r="S16" s="39"/>
      <c r="T16" s="1"/>
      <c r="U16" s="1"/>
      <c r="V16" s="1"/>
      <c r="W16" s="1"/>
      <c r="X16" s="1"/>
      <c r="Y16" s="1"/>
      <c r="Z16" s="1"/>
      <c r="AA16" s="1"/>
      <c r="AB16" s="1"/>
    </row>
    <row r="17" spans="1:28" ht="15" hidden="1">
      <c r="A17" s="85"/>
      <c r="B17" s="84"/>
      <c r="C17" s="1"/>
      <c r="D17" s="1"/>
      <c r="E17" s="1"/>
      <c r="F17" s="1"/>
      <c r="G17" s="1"/>
      <c r="S17" s="39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hidden="1" thickBot="1">
      <c r="A18" s="85"/>
      <c r="B18" s="89"/>
      <c r="C18" s="90" t="s">
        <v>9</v>
      </c>
      <c r="D18" s="91">
        <f>C12-D16</f>
        <v>1.1352388448072376E-2</v>
      </c>
      <c r="E18" s="92">
        <f>C12-F16</f>
        <v>6.0546071723052708E-3</v>
      </c>
      <c r="F18" s="93">
        <f>C12-E16</f>
        <v>1.5893343827301329E-2</v>
      </c>
      <c r="G18" s="1"/>
      <c r="S18" s="39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hidden="1" thickBot="1">
      <c r="A19" s="85"/>
      <c r="B19" s="94"/>
      <c r="C19" s="95" t="s">
        <v>10</v>
      </c>
      <c r="D19" s="96">
        <f>1/D18</f>
        <v>88.087190160392993</v>
      </c>
      <c r="E19" s="97">
        <f>1/F18</f>
        <v>62.919421543137837</v>
      </c>
      <c r="F19" s="98">
        <f>1/E18</f>
        <v>165.16348155073675</v>
      </c>
      <c r="G19" s="1"/>
      <c r="S19" s="39"/>
      <c r="T19" s="1"/>
      <c r="U19" s="1"/>
      <c r="V19" s="1"/>
      <c r="W19" s="1"/>
      <c r="X19" s="1"/>
      <c r="Y19" s="1"/>
      <c r="Z19" s="1"/>
      <c r="AA19" s="1"/>
      <c r="AB19" s="1"/>
    </row>
    <row r="20" spans="1:28" ht="15" hidden="1">
      <c r="A20" s="85"/>
      <c r="B20" s="84"/>
      <c r="C20" s="23"/>
      <c r="D20" s="23"/>
      <c r="E20" s="23"/>
      <c r="F20" s="23"/>
      <c r="G20" s="1"/>
      <c r="S20" s="39"/>
      <c r="T20" s="1"/>
      <c r="U20" s="1"/>
      <c r="V20" s="1"/>
      <c r="W20" s="1"/>
      <c r="X20" s="1"/>
      <c r="Y20" s="1"/>
      <c r="Z20" s="1"/>
      <c r="AA20" s="1"/>
      <c r="AB20" s="1"/>
    </row>
    <row r="21" spans="1:28" ht="15" hidden="1">
      <c r="A21" s="85"/>
      <c r="B21" s="99" t="s">
        <v>120</v>
      </c>
      <c r="C21" s="27"/>
      <c r="D21" s="27"/>
      <c r="E21" s="28">
        <f>ROUND(D14,2)</f>
        <v>0.85</v>
      </c>
      <c r="F21" s="29">
        <f>ROUND(D18,4)</f>
        <v>1.14E-2</v>
      </c>
      <c r="G21" s="30">
        <f>ROUND(D19,0)</f>
        <v>88</v>
      </c>
      <c r="S21" s="39"/>
      <c r="T21" s="1"/>
      <c r="U21" s="1"/>
      <c r="V21" s="1"/>
      <c r="W21" s="1"/>
      <c r="X21" s="1"/>
      <c r="Y21" s="1"/>
      <c r="Z21" s="1"/>
      <c r="AA21" s="1"/>
      <c r="AB21" s="1"/>
    </row>
    <row r="22" spans="1:28" ht="15" hidden="1">
      <c r="A22" s="85"/>
      <c r="B22" s="100" t="s">
        <v>121</v>
      </c>
      <c r="C22" s="101">
        <f>ROUND(D16,4)</f>
        <v>6.4299999999999996E-2</v>
      </c>
      <c r="D22" s="31">
        <f>ROUND(C12,4)</f>
        <v>7.5700000000000003E-2</v>
      </c>
      <c r="E22" s="32">
        <f>ROUND(E14,2)</f>
        <v>0.79</v>
      </c>
      <c r="F22" s="33">
        <f>ROUND(E18,4)</f>
        <v>6.1000000000000004E-3</v>
      </c>
      <c r="G22" s="34">
        <f>ROUND(E19,0)</f>
        <v>63</v>
      </c>
      <c r="S22" s="39"/>
      <c r="T22" s="1"/>
      <c r="U22" s="1"/>
      <c r="V22" s="1"/>
      <c r="W22" s="1"/>
      <c r="X22" s="1"/>
      <c r="Y22" s="1"/>
      <c r="Z22" s="1"/>
      <c r="AA22" s="1"/>
      <c r="AB22" s="1"/>
    </row>
    <row r="23" spans="1:28" ht="15" hidden="1">
      <c r="A23" s="85"/>
      <c r="B23" s="100" t="s">
        <v>122</v>
      </c>
      <c r="C23" s="35"/>
      <c r="D23" s="35"/>
      <c r="E23" s="32">
        <f>ROUND(F14,2)</f>
        <v>0.92</v>
      </c>
      <c r="F23" s="33">
        <f>ROUND(F18,4)</f>
        <v>1.5900000000000001E-2</v>
      </c>
      <c r="G23" s="34">
        <f>ROUND(F19,0)</f>
        <v>165</v>
      </c>
      <c r="S23" s="39"/>
      <c r="T23" s="1"/>
      <c r="U23" s="1"/>
      <c r="V23" s="1"/>
      <c r="W23" s="1"/>
      <c r="X23" s="1"/>
      <c r="Y23" s="1"/>
      <c r="Z23" s="1"/>
      <c r="AA23" s="1"/>
      <c r="AB23" s="1"/>
    </row>
    <row r="24" spans="1:28" ht="15" hidden="1">
      <c r="A24" s="85"/>
      <c r="B24" s="100" t="s">
        <v>123</v>
      </c>
      <c r="C24" s="36" t="s">
        <v>164</v>
      </c>
      <c r="D24" s="36" t="s">
        <v>124</v>
      </c>
      <c r="E24" s="37" t="s">
        <v>125</v>
      </c>
      <c r="F24" s="37" t="s">
        <v>126</v>
      </c>
      <c r="G24" s="36" t="s">
        <v>10</v>
      </c>
      <c r="S24" s="39"/>
      <c r="T24" s="1"/>
      <c r="U24" s="1"/>
      <c r="V24" s="1"/>
      <c r="W24" s="1"/>
      <c r="X24" s="1"/>
      <c r="Y24" s="1"/>
      <c r="Z24" s="1"/>
      <c r="AA24" s="1"/>
      <c r="AB24" s="1"/>
    </row>
    <row r="25" spans="1:28" ht="15" hidden="1">
      <c r="A25" s="85"/>
      <c r="B25" s="102" t="s">
        <v>127</v>
      </c>
      <c r="C25" s="36" t="str">
        <f>CONCATENATE(C22*100,B24)</f>
        <v>6,43%</v>
      </c>
      <c r="D25" s="36" t="str">
        <f>CONCATENATE(D22*100,B24)</f>
        <v>7,57%</v>
      </c>
      <c r="E25" s="36" t="str">
        <f>CONCATENATE(E21," ",B21,E22,B22,E23,B23)</f>
        <v>0,85 (0,79-0,92)</v>
      </c>
      <c r="F25" s="36" t="str">
        <f>CONCATENATE(F21*100,B24," ",B21,F22*100,B24," ",B25," ",F23*100,B24,B23)</f>
        <v>1,14% (0,61% a 1,59%)</v>
      </c>
      <c r="G25" s="36" t="str">
        <f>CONCATENATE(G21," ",B21,G22," ",B25," ",G23,B23)</f>
        <v>88 (63 a 165)</v>
      </c>
      <c r="S25" s="39"/>
      <c r="T25" s="1"/>
      <c r="U25" s="1"/>
      <c r="V25" s="1"/>
      <c r="W25" s="1"/>
      <c r="X25" s="1"/>
      <c r="Y25" s="1"/>
      <c r="Z25" s="1"/>
      <c r="AA25" s="1"/>
      <c r="AB25" s="1"/>
    </row>
    <row r="26" spans="1:28" ht="15" hidden="1">
      <c r="A26" s="103"/>
      <c r="B26" s="79"/>
      <c r="C26" s="16"/>
      <c r="D26" s="16"/>
      <c r="E26" s="16"/>
      <c r="F26" s="16"/>
      <c r="G26" s="16"/>
      <c r="S26" s="39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thickBot="1">
      <c r="A27" s="291">
        <f>A13*A14</f>
        <v>7.5682589653815871E-2</v>
      </c>
      <c r="B27" s="292" t="s">
        <v>165</v>
      </c>
      <c r="C27" s="1"/>
      <c r="D27" s="1"/>
      <c r="E27" s="1"/>
      <c r="F27" s="1"/>
      <c r="G27" s="1"/>
      <c r="S27" s="39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thickBot="1">
      <c r="A28" s="104"/>
      <c r="B28" s="1"/>
      <c r="C28" s="298" t="s">
        <v>166</v>
      </c>
      <c r="D28" s="299" t="s">
        <v>124</v>
      </c>
      <c r="E28" s="299" t="s">
        <v>125</v>
      </c>
      <c r="F28" s="299" t="s">
        <v>9</v>
      </c>
      <c r="G28" s="300" t="s">
        <v>10</v>
      </c>
      <c r="S28" s="39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thickBot="1">
      <c r="A29" s="105"/>
      <c r="B29" s="38"/>
      <c r="C29" s="301" t="str">
        <f>C25</f>
        <v>6,43%</v>
      </c>
      <c r="D29" s="302" t="str">
        <f>D25</f>
        <v>7,57%</v>
      </c>
      <c r="E29" s="302" t="str">
        <f>E25</f>
        <v>0,85 (0,79-0,92)</v>
      </c>
      <c r="F29" s="302" t="str">
        <f>F25</f>
        <v>1,14% (0,61% a 1,59%)</v>
      </c>
      <c r="G29" s="303" t="str">
        <f>G25</f>
        <v>88 (63 a 165)</v>
      </c>
      <c r="S29" s="39"/>
      <c r="T29" s="1"/>
      <c r="U29" s="1"/>
      <c r="V29" s="1"/>
      <c r="W29" s="1"/>
      <c r="X29" s="1"/>
      <c r="Y29" s="1"/>
      <c r="Z29" s="1"/>
      <c r="AA29" s="1"/>
      <c r="AB29" s="1"/>
    </row>
    <row r="30" spans="1:28" ht="15">
      <c r="B30" s="2"/>
      <c r="C30" s="2"/>
      <c r="E30" s="4"/>
      <c r="F30" s="3"/>
      <c r="S30" s="39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thickBot="1">
      <c r="D31" s="4"/>
      <c r="E31" s="4"/>
      <c r="S31" s="39"/>
      <c r="T31" s="1"/>
      <c r="U31" s="1"/>
      <c r="V31" s="1"/>
      <c r="W31" s="1"/>
      <c r="X31" s="1"/>
      <c r="Y31" s="1"/>
      <c r="Z31" s="1"/>
      <c r="AA31" s="1"/>
      <c r="AB31" s="1"/>
    </row>
    <row r="32" spans="1:28" ht="22.5" customHeight="1" thickBot="1">
      <c r="A32" s="369" t="s">
        <v>262</v>
      </c>
      <c r="B32" s="304" t="str">
        <f>B2</f>
        <v>EnfCor (IAM fatal+No fatal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6"/>
      <c r="S32" s="39"/>
      <c r="T32" s="1"/>
      <c r="U32" s="1"/>
    </row>
    <row r="33" spans="1:256" ht="36" customHeight="1" thickBot="1">
      <c r="A33" s="397" t="s">
        <v>135</v>
      </c>
      <c r="B33" s="397" t="s">
        <v>136</v>
      </c>
      <c r="C33" s="401" t="s">
        <v>7</v>
      </c>
      <c r="D33" s="403" t="s">
        <v>137</v>
      </c>
      <c r="E33" s="397" t="s">
        <v>138</v>
      </c>
      <c r="F33" s="397" t="s">
        <v>242</v>
      </c>
      <c r="G33" s="397" t="s">
        <v>243</v>
      </c>
      <c r="H33" s="397" t="s">
        <v>244</v>
      </c>
      <c r="I33" s="397" t="s">
        <v>245</v>
      </c>
      <c r="J33" s="397" t="s">
        <v>139</v>
      </c>
      <c r="K33" s="399" t="s">
        <v>140</v>
      </c>
      <c r="L33" s="386" t="s">
        <v>141</v>
      </c>
      <c r="M33" s="387"/>
      <c r="N33" s="387"/>
      <c r="O33" s="388"/>
      <c r="S33" s="39"/>
      <c r="T33" s="1"/>
      <c r="U33" s="1"/>
    </row>
    <row r="34" spans="1:256" ht="43.5" customHeight="1" thickBot="1">
      <c r="A34" s="398"/>
      <c r="B34" s="398"/>
      <c r="C34" s="402"/>
      <c r="D34" s="404"/>
      <c r="E34" s="398"/>
      <c r="F34" s="398"/>
      <c r="G34" s="398"/>
      <c r="H34" s="398"/>
      <c r="I34" s="398"/>
      <c r="J34" s="398"/>
      <c r="K34" s="400"/>
      <c r="L34" s="307" t="s">
        <v>8</v>
      </c>
      <c r="M34" s="308" t="s">
        <v>9</v>
      </c>
      <c r="N34" s="309" t="s">
        <v>10</v>
      </c>
      <c r="O34" s="310" t="s">
        <v>142</v>
      </c>
      <c r="S34" s="39"/>
      <c r="T34" s="1"/>
      <c r="U34" s="1"/>
    </row>
    <row r="35" spans="1:256" ht="24.75" customHeight="1">
      <c r="A35" s="389">
        <v>9</v>
      </c>
      <c r="B35" s="311" t="str">
        <f>A5</f>
        <v>ACCORD 2008, 3,8y</v>
      </c>
      <c r="C35" s="312" t="s">
        <v>11</v>
      </c>
      <c r="D35" s="313"/>
      <c r="E35" s="314">
        <f t="shared" ref="E35:E40" si="9">H5</f>
        <v>3.8</v>
      </c>
      <c r="F35" s="315" t="str">
        <f t="shared" ref="F35:F40" si="10">P5</f>
        <v>205 / 5128</v>
      </c>
      <c r="G35" s="316">
        <f t="shared" ref="G35:G40" si="11">L5</f>
        <v>1.05201576484112E-2</v>
      </c>
      <c r="H35" s="315" t="str">
        <f t="shared" ref="H35:H40" si="12">Q5</f>
        <v>248 / 5123</v>
      </c>
      <c r="I35" s="317">
        <f t="shared" ref="I35:J40" si="13">M5</f>
        <v>1.273924612428984E-2</v>
      </c>
      <c r="J35" s="318">
        <f t="shared" si="13"/>
        <v>62</v>
      </c>
      <c r="K35" s="6">
        <v>0.188</v>
      </c>
      <c r="L35" s="7" t="s">
        <v>80</v>
      </c>
      <c r="M35" s="5" t="s">
        <v>81</v>
      </c>
      <c r="N35" s="255" t="s">
        <v>82</v>
      </c>
      <c r="O35" s="42" t="s">
        <v>115</v>
      </c>
      <c r="P35" s="40"/>
      <c r="Q35" s="43">
        <v>3</v>
      </c>
      <c r="R35" s="44">
        <f>Q35*K35</f>
        <v>0.56400000000000006</v>
      </c>
      <c r="S35" s="39"/>
      <c r="T35" s="1"/>
      <c r="U35" s="1"/>
    </row>
    <row r="36" spans="1:256" ht="24.75" customHeight="1">
      <c r="A36" s="390"/>
      <c r="B36" s="311" t="str">
        <f>A6</f>
        <v>ADVANCE 2008, 5y</v>
      </c>
      <c r="C36" s="312" t="s">
        <v>11</v>
      </c>
      <c r="D36" s="313"/>
      <c r="E36" s="314">
        <f t="shared" si="9"/>
        <v>5</v>
      </c>
      <c r="F36" s="315" t="str">
        <f t="shared" si="10"/>
        <v>310 / 5571</v>
      </c>
      <c r="G36" s="316">
        <f t="shared" si="11"/>
        <v>1.1129061209836654E-2</v>
      </c>
      <c r="H36" s="315" t="str">
        <f t="shared" si="12"/>
        <v>337 / 5569</v>
      </c>
      <c r="I36" s="316">
        <f t="shared" si="13"/>
        <v>1.2102711438319267E-2</v>
      </c>
      <c r="J36" s="318">
        <f t="shared" si="13"/>
        <v>66</v>
      </c>
      <c r="K36" s="6">
        <v>0.27500000000000002</v>
      </c>
      <c r="L36" s="7" t="s">
        <v>83</v>
      </c>
      <c r="M36" s="5" t="s">
        <v>84</v>
      </c>
      <c r="N36" s="5" t="s">
        <v>85</v>
      </c>
      <c r="O36" s="45" t="s">
        <v>116</v>
      </c>
      <c r="P36" s="40"/>
      <c r="Q36" s="43">
        <v>3.5</v>
      </c>
      <c r="R36" s="44">
        <f t="shared" ref="R36:R39" si="14">Q36*K36</f>
        <v>0.96250000000000013</v>
      </c>
      <c r="S36" s="39"/>
      <c r="T36" s="1"/>
      <c r="U36" s="1"/>
    </row>
    <row r="37" spans="1:256" ht="24.75" customHeight="1">
      <c r="A37" s="390"/>
      <c r="B37" s="311" t="str">
        <f>A7</f>
        <v>PROactive 2005, 2,8y</v>
      </c>
      <c r="C37" s="312" t="s">
        <v>11</v>
      </c>
      <c r="D37" s="313"/>
      <c r="E37" s="314">
        <f t="shared" si="9"/>
        <v>2.8</v>
      </c>
      <c r="F37" s="315" t="str">
        <f t="shared" si="10"/>
        <v>164 / 2605</v>
      </c>
      <c r="G37" s="316">
        <f t="shared" si="11"/>
        <v>2.2484233616671241E-2</v>
      </c>
      <c r="H37" s="315" t="str">
        <f t="shared" si="12"/>
        <v>202 / 2633</v>
      </c>
      <c r="I37" s="316">
        <f t="shared" si="13"/>
        <v>2.7399489989691283E-2</v>
      </c>
      <c r="J37" s="318">
        <f t="shared" si="13"/>
        <v>62</v>
      </c>
      <c r="K37" s="6">
        <v>0.156</v>
      </c>
      <c r="L37" s="7" t="s">
        <v>86</v>
      </c>
      <c r="M37" s="5" t="s">
        <v>87</v>
      </c>
      <c r="N37" s="5" t="s">
        <v>88</v>
      </c>
      <c r="O37" s="45" t="s">
        <v>116</v>
      </c>
      <c r="P37" s="40"/>
      <c r="Q37" s="43">
        <v>3.5</v>
      </c>
      <c r="R37" s="44">
        <f t="shared" si="14"/>
        <v>0.54600000000000004</v>
      </c>
      <c r="S37" s="39"/>
      <c r="T37" s="1"/>
      <c r="U37" s="1"/>
    </row>
    <row r="38" spans="1:256" ht="24.75" customHeight="1">
      <c r="A38" s="390"/>
      <c r="B38" s="311" t="str">
        <f>A8</f>
        <v>UKPDS 1998, 10y</v>
      </c>
      <c r="C38" s="312" t="s">
        <v>11</v>
      </c>
      <c r="D38" s="313"/>
      <c r="E38" s="314">
        <f t="shared" si="9"/>
        <v>10</v>
      </c>
      <c r="F38" s="315" t="str">
        <f t="shared" si="10"/>
        <v>426 / 3071</v>
      </c>
      <c r="G38" s="316">
        <f t="shared" si="11"/>
        <v>1.3871703028329534E-2</v>
      </c>
      <c r="H38" s="315" t="str">
        <f t="shared" si="12"/>
        <v>259 / 1549</v>
      </c>
      <c r="I38" s="316">
        <f t="shared" si="13"/>
        <v>1.672046481601033E-2</v>
      </c>
      <c r="J38" s="318">
        <f t="shared" si="13"/>
        <v>53</v>
      </c>
      <c r="K38" s="6">
        <v>0.307</v>
      </c>
      <c r="L38" s="7" t="s">
        <v>89</v>
      </c>
      <c r="M38" s="5" t="s">
        <v>90</v>
      </c>
      <c r="N38" s="17" t="s">
        <v>91</v>
      </c>
      <c r="O38" s="45" t="s">
        <v>115</v>
      </c>
      <c r="P38" s="40"/>
      <c r="Q38" s="43">
        <v>3</v>
      </c>
      <c r="R38" s="44">
        <f t="shared" si="14"/>
        <v>0.92100000000000004</v>
      </c>
      <c r="S38" s="39"/>
      <c r="T38" s="1"/>
      <c r="U38" s="1"/>
    </row>
    <row r="39" spans="1:256" ht="24.75" customHeight="1" thickBot="1">
      <c r="A39" s="391"/>
      <c r="B39" s="311" t="str">
        <f>A9</f>
        <v>VADT 2009, 5,6y</v>
      </c>
      <c r="C39" s="312" t="s">
        <v>11</v>
      </c>
      <c r="D39" s="313"/>
      <c r="E39" s="314">
        <f t="shared" si="9"/>
        <v>5.6</v>
      </c>
      <c r="F39" s="315" t="str">
        <f t="shared" si="10"/>
        <v>77 / 892</v>
      </c>
      <c r="G39" s="316">
        <f t="shared" si="11"/>
        <v>1.5414798206278028E-2</v>
      </c>
      <c r="H39" s="315" t="str">
        <f t="shared" si="12"/>
        <v>90 / 899</v>
      </c>
      <c r="I39" s="316">
        <f t="shared" si="13"/>
        <v>1.7877006197362148E-2</v>
      </c>
      <c r="J39" s="318">
        <f t="shared" si="13"/>
        <v>60</v>
      </c>
      <c r="K39" s="6">
        <v>7.2999999999999995E-2</v>
      </c>
      <c r="L39" s="7" t="s">
        <v>92</v>
      </c>
      <c r="M39" s="5" t="s">
        <v>93</v>
      </c>
      <c r="N39" s="5" t="s">
        <v>94</v>
      </c>
      <c r="O39" s="45" t="s">
        <v>116</v>
      </c>
      <c r="P39" s="40"/>
      <c r="Q39" s="43">
        <v>3.5</v>
      </c>
      <c r="R39" s="44">
        <f t="shared" si="14"/>
        <v>0.2555</v>
      </c>
      <c r="S39" s="39"/>
      <c r="T39" s="1"/>
      <c r="U39" s="1"/>
    </row>
    <row r="40" spans="1:256" ht="24" customHeight="1" thickBot="1">
      <c r="A40" s="319" t="s">
        <v>143</v>
      </c>
      <c r="B40" s="320">
        <f>COUNT(E35:E39)</f>
        <v>5</v>
      </c>
      <c r="C40" s="321"/>
      <c r="D40" s="108" t="s">
        <v>167</v>
      </c>
      <c r="E40" s="322">
        <f t="shared" si="9"/>
        <v>5.0105871670702173</v>
      </c>
      <c r="F40" s="323" t="str">
        <f t="shared" si="10"/>
        <v>1182 / 17267</v>
      </c>
      <c r="G40" s="324">
        <f t="shared" si="11"/>
        <v>1.3083818349667814E-2</v>
      </c>
      <c r="H40" s="323" t="str">
        <f t="shared" si="12"/>
        <v>1136 / 15773</v>
      </c>
      <c r="I40" s="324">
        <f t="shared" si="13"/>
        <v>1.5104535083473834E-2</v>
      </c>
      <c r="J40" s="322">
        <f t="shared" si="13"/>
        <v>61.981779661016951</v>
      </c>
      <c r="K40" s="6">
        <v>1</v>
      </c>
      <c r="L40" s="18" t="s">
        <v>95</v>
      </c>
      <c r="M40" s="9"/>
      <c r="N40" s="11"/>
      <c r="O40" s="48" t="s">
        <v>116</v>
      </c>
      <c r="P40" s="40"/>
      <c r="Q40" s="40"/>
      <c r="R40" s="49">
        <f>SUM(R35:R39)</f>
        <v>3.2490000000000001</v>
      </c>
      <c r="S40" s="39"/>
      <c r="T40" s="1"/>
      <c r="U40" s="1"/>
    </row>
    <row r="41" spans="1:256" ht="13.5" thickBot="1">
      <c r="A41" s="325"/>
      <c r="B41" s="325"/>
      <c r="C41" s="326"/>
      <c r="D41" s="327"/>
      <c r="E41" s="328"/>
      <c r="F41" s="329"/>
      <c r="G41" s="330"/>
      <c r="H41" s="329"/>
      <c r="I41" s="331"/>
      <c r="J41" s="332"/>
      <c r="K41" s="50"/>
      <c r="L41" s="46"/>
      <c r="M41" s="47"/>
      <c r="N41" s="47"/>
      <c r="O41" s="50"/>
      <c r="P41" s="40"/>
      <c r="Q41" s="40"/>
      <c r="R41" s="40"/>
    </row>
    <row r="42" spans="1:256" ht="48" thickBot="1">
      <c r="A42" s="334"/>
      <c r="B42" s="392" t="s">
        <v>246</v>
      </c>
      <c r="C42" s="393"/>
      <c r="D42" s="393"/>
      <c r="E42" s="393"/>
      <c r="F42" s="393"/>
      <c r="G42" s="393"/>
      <c r="H42" s="393"/>
      <c r="I42" s="394"/>
      <c r="J42" s="51" t="s">
        <v>144</v>
      </c>
      <c r="K42" s="52" t="s">
        <v>145</v>
      </c>
      <c r="L42" s="53" t="s">
        <v>8</v>
      </c>
      <c r="M42" s="54" t="s">
        <v>9</v>
      </c>
      <c r="N42" s="55" t="s">
        <v>10</v>
      </c>
      <c r="O42" s="47"/>
      <c r="P42" s="41"/>
      <c r="Q42" s="41"/>
      <c r="R42" s="41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30" customHeight="1">
      <c r="A43" s="395" t="s">
        <v>146</v>
      </c>
      <c r="B43" s="335" t="s">
        <v>147</v>
      </c>
      <c r="C43" s="336">
        <f>I40</f>
        <v>1.5104535083473834E-2</v>
      </c>
      <c r="D43" s="337" t="s">
        <v>148</v>
      </c>
      <c r="E43" s="337"/>
      <c r="F43" s="337"/>
      <c r="G43" s="337"/>
      <c r="H43" s="338">
        <f>J40</f>
        <v>61.981779661016951</v>
      </c>
      <c r="I43" s="339" t="s">
        <v>149</v>
      </c>
      <c r="J43" s="340" t="s">
        <v>247</v>
      </c>
      <c r="K43" s="57" t="s">
        <v>248</v>
      </c>
      <c r="L43" s="109" t="s">
        <v>95</v>
      </c>
      <c r="M43" s="58" t="s">
        <v>249</v>
      </c>
      <c r="N43" s="111" t="s">
        <v>250</v>
      </c>
      <c r="O43" s="59" t="s">
        <v>150</v>
      </c>
      <c r="P43" s="40"/>
      <c r="Q43" s="40"/>
      <c r="R43" s="40"/>
    </row>
    <row r="44" spans="1:256" ht="30" customHeight="1" thickBot="1">
      <c r="A44" s="396"/>
      <c r="B44" s="341" t="s">
        <v>147</v>
      </c>
      <c r="C44" s="342">
        <f>I40*E40</f>
        <v>7.5682589653815871E-2</v>
      </c>
      <c r="D44" s="343" t="s">
        <v>151</v>
      </c>
      <c r="E44" s="344"/>
      <c r="F44" s="345"/>
      <c r="G44" s="346">
        <f>E40</f>
        <v>5.0105871670702173</v>
      </c>
      <c r="H44" s="343" t="s">
        <v>2</v>
      </c>
      <c r="I44" s="347"/>
      <c r="J44" s="60" t="s">
        <v>251</v>
      </c>
      <c r="K44" s="61" t="s">
        <v>252</v>
      </c>
      <c r="L44" s="110" t="s">
        <v>95</v>
      </c>
      <c r="M44" s="62" t="s">
        <v>253</v>
      </c>
      <c r="N44" s="112" t="s">
        <v>254</v>
      </c>
      <c r="O44" s="63" t="s">
        <v>170</v>
      </c>
      <c r="P44" s="40"/>
      <c r="Q44" s="40"/>
      <c r="R44" s="40"/>
    </row>
    <row r="45" spans="1:256" ht="19.5" thickBot="1">
      <c r="A45" s="348"/>
      <c r="B45" s="349"/>
      <c r="C45" s="350"/>
      <c r="D45" s="351"/>
      <c r="E45" s="352"/>
      <c r="F45" s="353"/>
      <c r="G45" s="354"/>
      <c r="H45" s="351"/>
      <c r="I45" s="353"/>
      <c r="J45" s="64"/>
      <c r="K45" s="64"/>
      <c r="L45" s="65"/>
      <c r="M45" s="66"/>
      <c r="N45" s="66"/>
      <c r="O45" s="67"/>
      <c r="P45" s="40"/>
      <c r="Q45" s="40"/>
      <c r="R45" s="40"/>
    </row>
    <row r="46" spans="1:256" ht="19.5" thickBot="1">
      <c r="A46" s="355"/>
      <c r="B46" s="355"/>
      <c r="C46" s="333"/>
      <c r="D46" s="333"/>
      <c r="E46" s="333"/>
      <c r="F46" s="333"/>
      <c r="G46" s="333"/>
      <c r="H46" s="333"/>
      <c r="I46" s="356"/>
      <c r="J46" s="361"/>
      <c r="K46" s="362" t="s">
        <v>152</v>
      </c>
      <c r="L46" s="247" t="s">
        <v>230</v>
      </c>
      <c r="M46" s="68"/>
      <c r="N46" s="69"/>
      <c r="O46" s="70"/>
      <c r="P46" s="40"/>
      <c r="Q46" s="40"/>
      <c r="R46" s="40"/>
    </row>
    <row r="47" spans="1:256">
      <c r="A47" s="355"/>
      <c r="B47" s="355"/>
      <c r="C47" s="333"/>
      <c r="D47" s="333"/>
      <c r="E47" s="333"/>
      <c r="F47" s="333"/>
      <c r="G47" s="333"/>
      <c r="H47" s="333"/>
      <c r="I47" s="370" t="s">
        <v>153</v>
      </c>
      <c r="J47" s="363">
        <f>E40</f>
        <v>5.0105871670702173</v>
      </c>
      <c r="K47" s="363">
        <f>E40</f>
        <v>5.0105871670702173</v>
      </c>
      <c r="L47" s="50"/>
      <c r="M47" s="50"/>
      <c r="N47" s="50"/>
      <c r="O47" s="50"/>
      <c r="P47" s="40"/>
      <c r="Q47" s="40"/>
      <c r="R47" s="40"/>
    </row>
    <row r="48" spans="1:256">
      <c r="A48" s="355"/>
      <c r="B48" s="355"/>
      <c r="C48" s="333"/>
      <c r="D48" s="333"/>
      <c r="E48" s="333"/>
      <c r="F48" s="333"/>
      <c r="G48" s="333"/>
      <c r="H48" s="333"/>
      <c r="I48" s="371"/>
      <c r="J48" s="372" t="s">
        <v>0</v>
      </c>
      <c r="K48" s="372" t="s">
        <v>132</v>
      </c>
      <c r="L48" s="372" t="s">
        <v>237</v>
      </c>
      <c r="M48" s="50"/>
      <c r="N48" s="50"/>
      <c r="O48" s="50"/>
      <c r="P48" s="40"/>
      <c r="Q48" s="40"/>
      <c r="R48" s="40"/>
    </row>
    <row r="49" spans="1:18">
      <c r="A49" s="333"/>
      <c r="B49" s="355"/>
      <c r="C49" s="355"/>
      <c r="D49" s="333"/>
      <c r="E49" s="333"/>
      <c r="F49" s="333"/>
      <c r="G49" s="333"/>
      <c r="H49" s="333"/>
      <c r="I49" s="373" t="s">
        <v>154</v>
      </c>
      <c r="J49" s="377">
        <f>J43*1000*J47</f>
        <v>64.135515738498782</v>
      </c>
      <c r="K49" s="378">
        <f>K43*1000*K47</f>
        <v>75.659866222760286</v>
      </c>
      <c r="L49" s="375">
        <f>((J49*I10)+(K49*J10))/K10</f>
        <v>69.371023002421296</v>
      </c>
      <c r="M49" s="50"/>
      <c r="N49" s="50"/>
      <c r="O49" s="50"/>
      <c r="P49" s="40"/>
      <c r="Q49" s="40"/>
      <c r="R49" s="40"/>
    </row>
    <row r="50" spans="1:18">
      <c r="A50" s="1"/>
      <c r="B50" s="1"/>
      <c r="C50" s="1"/>
      <c r="D50" s="1"/>
      <c r="E50" s="1"/>
      <c r="F50" s="1"/>
      <c r="G50" s="1"/>
    </row>
    <row r="51" spans="1:18">
      <c r="A51" s="1"/>
      <c r="B51" s="1"/>
      <c r="C51" s="1"/>
      <c r="D51" s="1"/>
      <c r="E51" s="1"/>
      <c r="F51" s="1"/>
      <c r="G51" s="1"/>
    </row>
    <row r="52" spans="1:18">
      <c r="A52" s="1"/>
      <c r="B52" s="1"/>
      <c r="C52" s="1"/>
      <c r="D52" s="1"/>
      <c r="E52" s="1"/>
      <c r="F52" s="1"/>
      <c r="G52" s="1"/>
    </row>
    <row r="53" spans="1:18">
      <c r="A53" s="1"/>
      <c r="B53" s="1"/>
      <c r="C53" s="1"/>
      <c r="D53" s="1"/>
      <c r="E53" s="1"/>
      <c r="F53" s="1"/>
      <c r="G53" s="1"/>
    </row>
    <row r="54" spans="1:18">
      <c r="A54" s="1"/>
      <c r="B54" s="1"/>
      <c r="C54" s="1"/>
      <c r="D54" s="1"/>
      <c r="E54" s="1"/>
      <c r="F54" s="1"/>
      <c r="G54" s="1"/>
    </row>
    <row r="55" spans="1:18">
      <c r="A55" s="1"/>
      <c r="B55" s="1"/>
      <c r="C55" s="1"/>
      <c r="D55" s="1"/>
      <c r="E55" s="1"/>
      <c r="F55" s="1"/>
      <c r="G55" s="1"/>
    </row>
    <row r="56" spans="1:18">
      <c r="A56" s="1"/>
      <c r="B56" s="1"/>
      <c r="C56" s="1"/>
      <c r="D56" s="1"/>
      <c r="E56" s="1"/>
      <c r="F56" s="1"/>
      <c r="G56" s="1"/>
    </row>
    <row r="57" spans="1:18">
      <c r="A57" s="1"/>
      <c r="B57" s="1"/>
      <c r="C57" s="1"/>
      <c r="D57" s="1"/>
      <c r="E57" s="1"/>
      <c r="F57" s="1"/>
      <c r="G57" s="1"/>
    </row>
    <row r="58" spans="1:18">
      <c r="A58" s="1"/>
      <c r="B58" s="1"/>
      <c r="C58" s="1"/>
      <c r="D58" s="1"/>
      <c r="E58" s="1"/>
      <c r="F58" s="1"/>
      <c r="G58" s="1"/>
    </row>
    <row r="59" spans="1:18">
      <c r="A59" s="1"/>
      <c r="B59" s="1"/>
      <c r="C59" s="1"/>
      <c r="D59" s="1"/>
      <c r="E59" s="1"/>
      <c r="F59" s="1"/>
      <c r="G59" s="1"/>
    </row>
    <row r="60" spans="1:18">
      <c r="A60" s="1"/>
      <c r="B60" s="1"/>
      <c r="C60" s="1"/>
      <c r="D60" s="1"/>
      <c r="E60" s="1"/>
      <c r="F60" s="1"/>
      <c r="G60" s="1"/>
    </row>
    <row r="61" spans="1:18">
      <c r="A61" s="1"/>
      <c r="B61" s="1"/>
      <c r="C61" s="1"/>
      <c r="D61" s="1"/>
      <c r="E61" s="1"/>
      <c r="F61" s="1"/>
      <c r="G61" s="1"/>
    </row>
    <row r="62" spans="1:18">
      <c r="A62" s="1"/>
      <c r="B62" s="1"/>
      <c r="C62" s="1"/>
      <c r="D62" s="1"/>
      <c r="E62" s="1"/>
      <c r="F62" s="1"/>
      <c r="G62" s="1"/>
    </row>
    <row r="63" spans="1:18">
      <c r="A63" s="1"/>
      <c r="B63" s="1"/>
      <c r="C63" s="1"/>
      <c r="D63" s="1"/>
      <c r="E63" s="1"/>
      <c r="F63" s="1"/>
      <c r="G63" s="1"/>
    </row>
    <row r="64" spans="1:18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</sheetData>
  <mergeCells count="20">
    <mergeCell ref="B3:D3"/>
    <mergeCell ref="E3:G3"/>
    <mergeCell ref="I3:K3"/>
    <mergeCell ref="L3:M3"/>
    <mergeCell ref="D12:F12"/>
    <mergeCell ref="L33:O33"/>
    <mergeCell ref="A35:A39"/>
    <mergeCell ref="B42:I42"/>
    <mergeCell ref="A43:A44"/>
    <mergeCell ref="F33:F34"/>
    <mergeCell ref="G33:G34"/>
    <mergeCell ref="H33:H34"/>
    <mergeCell ref="I33:I34"/>
    <mergeCell ref="J33:J34"/>
    <mergeCell ref="K33:K34"/>
    <mergeCell ref="A33:A34"/>
    <mergeCell ref="B33:B34"/>
    <mergeCell ref="C33:C34"/>
    <mergeCell ref="D33:D34"/>
    <mergeCell ref="E33:E34"/>
  </mergeCells>
  <pageMargins left="0.7" right="0.7" top="0.75" bottom="0.75" header="0.3" footer="0.3"/>
  <ignoredErrors>
    <ignoredError sqref="H10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zoomScaleNormal="100" workbookViewId="0">
      <selection activeCell="B29" sqref="B29"/>
    </sheetView>
  </sheetViews>
  <sheetFormatPr baseColWidth="10" defaultColWidth="16" defaultRowHeight="12.75"/>
  <cols>
    <col min="1" max="1" width="21.42578125" style="2" customWidth="1"/>
    <col min="2" max="2" width="23.5703125" style="262" customWidth="1"/>
    <col min="3" max="3" width="15" style="262" customWidth="1"/>
    <col min="4" max="4" width="15.140625" style="2" customWidth="1"/>
    <col min="5" max="5" width="16" style="2" customWidth="1"/>
    <col min="6" max="6" width="20" style="2" customWidth="1"/>
    <col min="7" max="7" width="17.140625" style="2" customWidth="1"/>
    <col min="8" max="8" width="15.28515625" style="2" customWidth="1"/>
    <col min="9" max="9" width="12.7109375" style="2" customWidth="1"/>
    <col min="10" max="10" width="15.140625" style="2" customWidth="1"/>
    <col min="11" max="11" width="15.28515625" style="2" customWidth="1"/>
    <col min="12" max="12" width="23.85546875" style="2" customWidth="1"/>
    <col min="13" max="13" width="25.5703125" style="2" customWidth="1"/>
    <col min="14" max="14" width="25.28515625" style="2" customWidth="1"/>
    <col min="15" max="15" width="16.7109375" style="2" customWidth="1"/>
    <col min="16" max="16" width="16" style="2"/>
    <col min="17" max="17" width="12.140625" style="2" customWidth="1"/>
    <col min="18" max="18" width="4.42578125" style="2" customWidth="1"/>
    <col min="19" max="19" width="34.85546875" style="2" customWidth="1"/>
    <col min="20" max="256" width="16" style="2"/>
    <col min="257" max="257" width="21.42578125" style="2" customWidth="1"/>
    <col min="258" max="258" width="23.5703125" style="2" customWidth="1"/>
    <col min="259" max="259" width="15" style="2" customWidth="1"/>
    <col min="260" max="260" width="15.140625" style="2" customWidth="1"/>
    <col min="261" max="261" width="16" style="2" customWidth="1"/>
    <col min="262" max="262" width="16.140625" style="2" customWidth="1"/>
    <col min="263" max="263" width="17.140625" style="2" customWidth="1"/>
    <col min="264" max="264" width="15.28515625" style="2" customWidth="1"/>
    <col min="265" max="265" width="12.7109375" style="2" customWidth="1"/>
    <col min="266" max="266" width="15.140625" style="2" customWidth="1"/>
    <col min="267" max="267" width="15.28515625" style="2" customWidth="1"/>
    <col min="268" max="268" width="23.85546875" style="2" customWidth="1"/>
    <col min="269" max="269" width="25.5703125" style="2" customWidth="1"/>
    <col min="270" max="270" width="20.5703125" style="2" customWidth="1"/>
    <col min="271" max="271" width="16.7109375" style="2" customWidth="1"/>
    <col min="272" max="272" width="16" style="2"/>
    <col min="273" max="273" width="12.140625" style="2" customWidth="1"/>
    <col min="274" max="274" width="4.42578125" style="2" customWidth="1"/>
    <col min="275" max="275" width="34.85546875" style="2" customWidth="1"/>
    <col min="276" max="512" width="16" style="2"/>
    <col min="513" max="513" width="21.42578125" style="2" customWidth="1"/>
    <col min="514" max="514" width="23.5703125" style="2" customWidth="1"/>
    <col min="515" max="515" width="15" style="2" customWidth="1"/>
    <col min="516" max="516" width="15.140625" style="2" customWidth="1"/>
    <col min="517" max="517" width="16" style="2" customWidth="1"/>
    <col min="518" max="518" width="16.140625" style="2" customWidth="1"/>
    <col min="519" max="519" width="17.140625" style="2" customWidth="1"/>
    <col min="520" max="520" width="15.28515625" style="2" customWidth="1"/>
    <col min="521" max="521" width="12.7109375" style="2" customWidth="1"/>
    <col min="522" max="522" width="15.140625" style="2" customWidth="1"/>
    <col min="523" max="523" width="15.28515625" style="2" customWidth="1"/>
    <col min="524" max="524" width="23.85546875" style="2" customWidth="1"/>
    <col min="525" max="525" width="25.5703125" style="2" customWidth="1"/>
    <col min="526" max="526" width="20.5703125" style="2" customWidth="1"/>
    <col min="527" max="527" width="16.7109375" style="2" customWidth="1"/>
    <col min="528" max="528" width="16" style="2"/>
    <col min="529" max="529" width="12.140625" style="2" customWidth="1"/>
    <col min="530" max="530" width="4.42578125" style="2" customWidth="1"/>
    <col min="531" max="531" width="34.85546875" style="2" customWidth="1"/>
    <col min="532" max="768" width="16" style="2"/>
    <col min="769" max="769" width="21.42578125" style="2" customWidth="1"/>
    <col min="770" max="770" width="23.5703125" style="2" customWidth="1"/>
    <col min="771" max="771" width="15" style="2" customWidth="1"/>
    <col min="772" max="772" width="15.140625" style="2" customWidth="1"/>
    <col min="773" max="773" width="16" style="2" customWidth="1"/>
    <col min="774" max="774" width="16.140625" style="2" customWidth="1"/>
    <col min="775" max="775" width="17.140625" style="2" customWidth="1"/>
    <col min="776" max="776" width="15.28515625" style="2" customWidth="1"/>
    <col min="777" max="777" width="12.7109375" style="2" customWidth="1"/>
    <col min="778" max="778" width="15.140625" style="2" customWidth="1"/>
    <col min="779" max="779" width="15.28515625" style="2" customWidth="1"/>
    <col min="780" max="780" width="23.85546875" style="2" customWidth="1"/>
    <col min="781" max="781" width="25.5703125" style="2" customWidth="1"/>
    <col min="782" max="782" width="20.5703125" style="2" customWidth="1"/>
    <col min="783" max="783" width="16.7109375" style="2" customWidth="1"/>
    <col min="784" max="784" width="16" style="2"/>
    <col min="785" max="785" width="12.140625" style="2" customWidth="1"/>
    <col min="786" max="786" width="4.42578125" style="2" customWidth="1"/>
    <col min="787" max="787" width="34.85546875" style="2" customWidth="1"/>
    <col min="788" max="1024" width="16" style="2"/>
    <col min="1025" max="1025" width="21.42578125" style="2" customWidth="1"/>
    <col min="1026" max="1026" width="23.5703125" style="2" customWidth="1"/>
    <col min="1027" max="1027" width="15" style="2" customWidth="1"/>
    <col min="1028" max="1028" width="15.140625" style="2" customWidth="1"/>
    <col min="1029" max="1029" width="16" style="2" customWidth="1"/>
    <col min="1030" max="1030" width="16.140625" style="2" customWidth="1"/>
    <col min="1031" max="1031" width="17.140625" style="2" customWidth="1"/>
    <col min="1032" max="1032" width="15.28515625" style="2" customWidth="1"/>
    <col min="1033" max="1033" width="12.7109375" style="2" customWidth="1"/>
    <col min="1034" max="1034" width="15.140625" style="2" customWidth="1"/>
    <col min="1035" max="1035" width="15.28515625" style="2" customWidth="1"/>
    <col min="1036" max="1036" width="23.85546875" style="2" customWidth="1"/>
    <col min="1037" max="1037" width="25.5703125" style="2" customWidth="1"/>
    <col min="1038" max="1038" width="20.5703125" style="2" customWidth="1"/>
    <col min="1039" max="1039" width="16.7109375" style="2" customWidth="1"/>
    <col min="1040" max="1040" width="16" style="2"/>
    <col min="1041" max="1041" width="12.140625" style="2" customWidth="1"/>
    <col min="1042" max="1042" width="4.42578125" style="2" customWidth="1"/>
    <col min="1043" max="1043" width="34.85546875" style="2" customWidth="1"/>
    <col min="1044" max="1280" width="16" style="2"/>
    <col min="1281" max="1281" width="21.42578125" style="2" customWidth="1"/>
    <col min="1282" max="1282" width="23.5703125" style="2" customWidth="1"/>
    <col min="1283" max="1283" width="15" style="2" customWidth="1"/>
    <col min="1284" max="1284" width="15.140625" style="2" customWidth="1"/>
    <col min="1285" max="1285" width="16" style="2" customWidth="1"/>
    <col min="1286" max="1286" width="16.140625" style="2" customWidth="1"/>
    <col min="1287" max="1287" width="17.140625" style="2" customWidth="1"/>
    <col min="1288" max="1288" width="15.28515625" style="2" customWidth="1"/>
    <col min="1289" max="1289" width="12.7109375" style="2" customWidth="1"/>
    <col min="1290" max="1290" width="15.140625" style="2" customWidth="1"/>
    <col min="1291" max="1291" width="15.28515625" style="2" customWidth="1"/>
    <col min="1292" max="1292" width="23.85546875" style="2" customWidth="1"/>
    <col min="1293" max="1293" width="25.5703125" style="2" customWidth="1"/>
    <col min="1294" max="1294" width="20.5703125" style="2" customWidth="1"/>
    <col min="1295" max="1295" width="16.7109375" style="2" customWidth="1"/>
    <col min="1296" max="1296" width="16" style="2"/>
    <col min="1297" max="1297" width="12.140625" style="2" customWidth="1"/>
    <col min="1298" max="1298" width="4.42578125" style="2" customWidth="1"/>
    <col min="1299" max="1299" width="34.85546875" style="2" customWidth="1"/>
    <col min="1300" max="1536" width="16" style="2"/>
    <col min="1537" max="1537" width="21.42578125" style="2" customWidth="1"/>
    <col min="1538" max="1538" width="23.5703125" style="2" customWidth="1"/>
    <col min="1539" max="1539" width="15" style="2" customWidth="1"/>
    <col min="1540" max="1540" width="15.140625" style="2" customWidth="1"/>
    <col min="1541" max="1541" width="16" style="2" customWidth="1"/>
    <col min="1542" max="1542" width="16.140625" style="2" customWidth="1"/>
    <col min="1543" max="1543" width="17.140625" style="2" customWidth="1"/>
    <col min="1544" max="1544" width="15.28515625" style="2" customWidth="1"/>
    <col min="1545" max="1545" width="12.7109375" style="2" customWidth="1"/>
    <col min="1546" max="1546" width="15.140625" style="2" customWidth="1"/>
    <col min="1547" max="1547" width="15.28515625" style="2" customWidth="1"/>
    <col min="1548" max="1548" width="23.85546875" style="2" customWidth="1"/>
    <col min="1549" max="1549" width="25.5703125" style="2" customWidth="1"/>
    <col min="1550" max="1550" width="20.5703125" style="2" customWidth="1"/>
    <col min="1551" max="1551" width="16.7109375" style="2" customWidth="1"/>
    <col min="1552" max="1552" width="16" style="2"/>
    <col min="1553" max="1553" width="12.140625" style="2" customWidth="1"/>
    <col min="1554" max="1554" width="4.42578125" style="2" customWidth="1"/>
    <col min="1555" max="1555" width="34.85546875" style="2" customWidth="1"/>
    <col min="1556" max="1792" width="16" style="2"/>
    <col min="1793" max="1793" width="21.42578125" style="2" customWidth="1"/>
    <col min="1794" max="1794" width="23.5703125" style="2" customWidth="1"/>
    <col min="1795" max="1795" width="15" style="2" customWidth="1"/>
    <col min="1796" max="1796" width="15.140625" style="2" customWidth="1"/>
    <col min="1797" max="1797" width="16" style="2" customWidth="1"/>
    <col min="1798" max="1798" width="16.140625" style="2" customWidth="1"/>
    <col min="1799" max="1799" width="17.140625" style="2" customWidth="1"/>
    <col min="1800" max="1800" width="15.28515625" style="2" customWidth="1"/>
    <col min="1801" max="1801" width="12.7109375" style="2" customWidth="1"/>
    <col min="1802" max="1802" width="15.140625" style="2" customWidth="1"/>
    <col min="1803" max="1803" width="15.28515625" style="2" customWidth="1"/>
    <col min="1804" max="1804" width="23.85546875" style="2" customWidth="1"/>
    <col min="1805" max="1805" width="25.5703125" style="2" customWidth="1"/>
    <col min="1806" max="1806" width="20.5703125" style="2" customWidth="1"/>
    <col min="1807" max="1807" width="16.7109375" style="2" customWidth="1"/>
    <col min="1808" max="1808" width="16" style="2"/>
    <col min="1809" max="1809" width="12.140625" style="2" customWidth="1"/>
    <col min="1810" max="1810" width="4.42578125" style="2" customWidth="1"/>
    <col min="1811" max="1811" width="34.85546875" style="2" customWidth="1"/>
    <col min="1812" max="2048" width="16" style="2"/>
    <col min="2049" max="2049" width="21.42578125" style="2" customWidth="1"/>
    <col min="2050" max="2050" width="23.5703125" style="2" customWidth="1"/>
    <col min="2051" max="2051" width="15" style="2" customWidth="1"/>
    <col min="2052" max="2052" width="15.140625" style="2" customWidth="1"/>
    <col min="2053" max="2053" width="16" style="2" customWidth="1"/>
    <col min="2054" max="2054" width="16.140625" style="2" customWidth="1"/>
    <col min="2055" max="2055" width="17.140625" style="2" customWidth="1"/>
    <col min="2056" max="2056" width="15.28515625" style="2" customWidth="1"/>
    <col min="2057" max="2057" width="12.7109375" style="2" customWidth="1"/>
    <col min="2058" max="2058" width="15.140625" style="2" customWidth="1"/>
    <col min="2059" max="2059" width="15.28515625" style="2" customWidth="1"/>
    <col min="2060" max="2060" width="23.85546875" style="2" customWidth="1"/>
    <col min="2061" max="2061" width="25.5703125" style="2" customWidth="1"/>
    <col min="2062" max="2062" width="20.5703125" style="2" customWidth="1"/>
    <col min="2063" max="2063" width="16.7109375" style="2" customWidth="1"/>
    <col min="2064" max="2064" width="16" style="2"/>
    <col min="2065" max="2065" width="12.140625" style="2" customWidth="1"/>
    <col min="2066" max="2066" width="4.42578125" style="2" customWidth="1"/>
    <col min="2067" max="2067" width="34.85546875" style="2" customWidth="1"/>
    <col min="2068" max="2304" width="16" style="2"/>
    <col min="2305" max="2305" width="21.42578125" style="2" customWidth="1"/>
    <col min="2306" max="2306" width="23.5703125" style="2" customWidth="1"/>
    <col min="2307" max="2307" width="15" style="2" customWidth="1"/>
    <col min="2308" max="2308" width="15.140625" style="2" customWidth="1"/>
    <col min="2309" max="2309" width="16" style="2" customWidth="1"/>
    <col min="2310" max="2310" width="16.140625" style="2" customWidth="1"/>
    <col min="2311" max="2311" width="17.140625" style="2" customWidth="1"/>
    <col min="2312" max="2312" width="15.28515625" style="2" customWidth="1"/>
    <col min="2313" max="2313" width="12.7109375" style="2" customWidth="1"/>
    <col min="2314" max="2314" width="15.140625" style="2" customWidth="1"/>
    <col min="2315" max="2315" width="15.28515625" style="2" customWidth="1"/>
    <col min="2316" max="2316" width="23.85546875" style="2" customWidth="1"/>
    <col min="2317" max="2317" width="25.5703125" style="2" customWidth="1"/>
    <col min="2318" max="2318" width="20.5703125" style="2" customWidth="1"/>
    <col min="2319" max="2319" width="16.7109375" style="2" customWidth="1"/>
    <col min="2320" max="2320" width="16" style="2"/>
    <col min="2321" max="2321" width="12.140625" style="2" customWidth="1"/>
    <col min="2322" max="2322" width="4.42578125" style="2" customWidth="1"/>
    <col min="2323" max="2323" width="34.85546875" style="2" customWidth="1"/>
    <col min="2324" max="2560" width="16" style="2"/>
    <col min="2561" max="2561" width="21.42578125" style="2" customWidth="1"/>
    <col min="2562" max="2562" width="23.5703125" style="2" customWidth="1"/>
    <col min="2563" max="2563" width="15" style="2" customWidth="1"/>
    <col min="2564" max="2564" width="15.140625" style="2" customWidth="1"/>
    <col min="2565" max="2565" width="16" style="2" customWidth="1"/>
    <col min="2566" max="2566" width="16.140625" style="2" customWidth="1"/>
    <col min="2567" max="2567" width="17.140625" style="2" customWidth="1"/>
    <col min="2568" max="2568" width="15.28515625" style="2" customWidth="1"/>
    <col min="2569" max="2569" width="12.7109375" style="2" customWidth="1"/>
    <col min="2570" max="2570" width="15.140625" style="2" customWidth="1"/>
    <col min="2571" max="2571" width="15.28515625" style="2" customWidth="1"/>
    <col min="2572" max="2572" width="23.85546875" style="2" customWidth="1"/>
    <col min="2573" max="2573" width="25.5703125" style="2" customWidth="1"/>
    <col min="2574" max="2574" width="20.5703125" style="2" customWidth="1"/>
    <col min="2575" max="2575" width="16.7109375" style="2" customWidth="1"/>
    <col min="2576" max="2576" width="16" style="2"/>
    <col min="2577" max="2577" width="12.140625" style="2" customWidth="1"/>
    <col min="2578" max="2578" width="4.42578125" style="2" customWidth="1"/>
    <col min="2579" max="2579" width="34.85546875" style="2" customWidth="1"/>
    <col min="2580" max="2816" width="16" style="2"/>
    <col min="2817" max="2817" width="21.42578125" style="2" customWidth="1"/>
    <col min="2818" max="2818" width="23.5703125" style="2" customWidth="1"/>
    <col min="2819" max="2819" width="15" style="2" customWidth="1"/>
    <col min="2820" max="2820" width="15.140625" style="2" customWidth="1"/>
    <col min="2821" max="2821" width="16" style="2" customWidth="1"/>
    <col min="2822" max="2822" width="16.140625" style="2" customWidth="1"/>
    <col min="2823" max="2823" width="17.140625" style="2" customWidth="1"/>
    <col min="2824" max="2824" width="15.28515625" style="2" customWidth="1"/>
    <col min="2825" max="2825" width="12.7109375" style="2" customWidth="1"/>
    <col min="2826" max="2826" width="15.140625" style="2" customWidth="1"/>
    <col min="2827" max="2827" width="15.28515625" style="2" customWidth="1"/>
    <col min="2828" max="2828" width="23.85546875" style="2" customWidth="1"/>
    <col min="2829" max="2829" width="25.5703125" style="2" customWidth="1"/>
    <col min="2830" max="2830" width="20.5703125" style="2" customWidth="1"/>
    <col min="2831" max="2831" width="16.7109375" style="2" customWidth="1"/>
    <col min="2832" max="2832" width="16" style="2"/>
    <col min="2833" max="2833" width="12.140625" style="2" customWidth="1"/>
    <col min="2834" max="2834" width="4.42578125" style="2" customWidth="1"/>
    <col min="2835" max="2835" width="34.85546875" style="2" customWidth="1"/>
    <col min="2836" max="3072" width="16" style="2"/>
    <col min="3073" max="3073" width="21.42578125" style="2" customWidth="1"/>
    <col min="3074" max="3074" width="23.5703125" style="2" customWidth="1"/>
    <col min="3075" max="3075" width="15" style="2" customWidth="1"/>
    <col min="3076" max="3076" width="15.140625" style="2" customWidth="1"/>
    <col min="3077" max="3077" width="16" style="2" customWidth="1"/>
    <col min="3078" max="3078" width="16.140625" style="2" customWidth="1"/>
    <col min="3079" max="3079" width="17.140625" style="2" customWidth="1"/>
    <col min="3080" max="3080" width="15.28515625" style="2" customWidth="1"/>
    <col min="3081" max="3081" width="12.7109375" style="2" customWidth="1"/>
    <col min="3082" max="3082" width="15.140625" style="2" customWidth="1"/>
    <col min="3083" max="3083" width="15.28515625" style="2" customWidth="1"/>
    <col min="3084" max="3084" width="23.85546875" style="2" customWidth="1"/>
    <col min="3085" max="3085" width="25.5703125" style="2" customWidth="1"/>
    <col min="3086" max="3086" width="20.5703125" style="2" customWidth="1"/>
    <col min="3087" max="3087" width="16.7109375" style="2" customWidth="1"/>
    <col min="3088" max="3088" width="16" style="2"/>
    <col min="3089" max="3089" width="12.140625" style="2" customWidth="1"/>
    <col min="3090" max="3090" width="4.42578125" style="2" customWidth="1"/>
    <col min="3091" max="3091" width="34.85546875" style="2" customWidth="1"/>
    <col min="3092" max="3328" width="16" style="2"/>
    <col min="3329" max="3329" width="21.42578125" style="2" customWidth="1"/>
    <col min="3330" max="3330" width="23.5703125" style="2" customWidth="1"/>
    <col min="3331" max="3331" width="15" style="2" customWidth="1"/>
    <col min="3332" max="3332" width="15.140625" style="2" customWidth="1"/>
    <col min="3333" max="3333" width="16" style="2" customWidth="1"/>
    <col min="3334" max="3334" width="16.140625" style="2" customWidth="1"/>
    <col min="3335" max="3335" width="17.140625" style="2" customWidth="1"/>
    <col min="3336" max="3336" width="15.28515625" style="2" customWidth="1"/>
    <col min="3337" max="3337" width="12.7109375" style="2" customWidth="1"/>
    <col min="3338" max="3338" width="15.140625" style="2" customWidth="1"/>
    <col min="3339" max="3339" width="15.28515625" style="2" customWidth="1"/>
    <col min="3340" max="3340" width="23.85546875" style="2" customWidth="1"/>
    <col min="3341" max="3341" width="25.5703125" style="2" customWidth="1"/>
    <col min="3342" max="3342" width="20.5703125" style="2" customWidth="1"/>
    <col min="3343" max="3343" width="16.7109375" style="2" customWidth="1"/>
    <col min="3344" max="3344" width="16" style="2"/>
    <col min="3345" max="3345" width="12.140625" style="2" customWidth="1"/>
    <col min="3346" max="3346" width="4.42578125" style="2" customWidth="1"/>
    <col min="3347" max="3347" width="34.85546875" style="2" customWidth="1"/>
    <col min="3348" max="3584" width="16" style="2"/>
    <col min="3585" max="3585" width="21.42578125" style="2" customWidth="1"/>
    <col min="3586" max="3586" width="23.5703125" style="2" customWidth="1"/>
    <col min="3587" max="3587" width="15" style="2" customWidth="1"/>
    <col min="3588" max="3588" width="15.140625" style="2" customWidth="1"/>
    <col min="3589" max="3589" width="16" style="2" customWidth="1"/>
    <col min="3590" max="3590" width="16.140625" style="2" customWidth="1"/>
    <col min="3591" max="3591" width="17.140625" style="2" customWidth="1"/>
    <col min="3592" max="3592" width="15.28515625" style="2" customWidth="1"/>
    <col min="3593" max="3593" width="12.7109375" style="2" customWidth="1"/>
    <col min="3594" max="3594" width="15.140625" style="2" customWidth="1"/>
    <col min="3595" max="3595" width="15.28515625" style="2" customWidth="1"/>
    <col min="3596" max="3596" width="23.85546875" style="2" customWidth="1"/>
    <col min="3597" max="3597" width="25.5703125" style="2" customWidth="1"/>
    <col min="3598" max="3598" width="20.5703125" style="2" customWidth="1"/>
    <col min="3599" max="3599" width="16.7109375" style="2" customWidth="1"/>
    <col min="3600" max="3600" width="16" style="2"/>
    <col min="3601" max="3601" width="12.140625" style="2" customWidth="1"/>
    <col min="3602" max="3602" width="4.42578125" style="2" customWidth="1"/>
    <col min="3603" max="3603" width="34.85546875" style="2" customWidth="1"/>
    <col min="3604" max="3840" width="16" style="2"/>
    <col min="3841" max="3841" width="21.42578125" style="2" customWidth="1"/>
    <col min="3842" max="3842" width="23.5703125" style="2" customWidth="1"/>
    <col min="3843" max="3843" width="15" style="2" customWidth="1"/>
    <col min="3844" max="3844" width="15.140625" style="2" customWidth="1"/>
    <col min="3845" max="3845" width="16" style="2" customWidth="1"/>
    <col min="3846" max="3846" width="16.140625" style="2" customWidth="1"/>
    <col min="3847" max="3847" width="17.140625" style="2" customWidth="1"/>
    <col min="3848" max="3848" width="15.28515625" style="2" customWidth="1"/>
    <col min="3849" max="3849" width="12.7109375" style="2" customWidth="1"/>
    <col min="3850" max="3850" width="15.140625" style="2" customWidth="1"/>
    <col min="3851" max="3851" width="15.28515625" style="2" customWidth="1"/>
    <col min="3852" max="3852" width="23.85546875" style="2" customWidth="1"/>
    <col min="3853" max="3853" width="25.5703125" style="2" customWidth="1"/>
    <col min="3854" max="3854" width="20.5703125" style="2" customWidth="1"/>
    <col min="3855" max="3855" width="16.7109375" style="2" customWidth="1"/>
    <col min="3856" max="3856" width="16" style="2"/>
    <col min="3857" max="3857" width="12.140625" style="2" customWidth="1"/>
    <col min="3858" max="3858" width="4.42578125" style="2" customWidth="1"/>
    <col min="3859" max="3859" width="34.85546875" style="2" customWidth="1"/>
    <col min="3860" max="4096" width="16" style="2"/>
    <col min="4097" max="4097" width="21.42578125" style="2" customWidth="1"/>
    <col min="4098" max="4098" width="23.5703125" style="2" customWidth="1"/>
    <col min="4099" max="4099" width="15" style="2" customWidth="1"/>
    <col min="4100" max="4100" width="15.140625" style="2" customWidth="1"/>
    <col min="4101" max="4101" width="16" style="2" customWidth="1"/>
    <col min="4102" max="4102" width="16.140625" style="2" customWidth="1"/>
    <col min="4103" max="4103" width="17.140625" style="2" customWidth="1"/>
    <col min="4104" max="4104" width="15.28515625" style="2" customWidth="1"/>
    <col min="4105" max="4105" width="12.7109375" style="2" customWidth="1"/>
    <col min="4106" max="4106" width="15.140625" style="2" customWidth="1"/>
    <col min="4107" max="4107" width="15.28515625" style="2" customWidth="1"/>
    <col min="4108" max="4108" width="23.85546875" style="2" customWidth="1"/>
    <col min="4109" max="4109" width="25.5703125" style="2" customWidth="1"/>
    <col min="4110" max="4110" width="20.5703125" style="2" customWidth="1"/>
    <col min="4111" max="4111" width="16.7109375" style="2" customWidth="1"/>
    <col min="4112" max="4112" width="16" style="2"/>
    <col min="4113" max="4113" width="12.140625" style="2" customWidth="1"/>
    <col min="4114" max="4114" width="4.42578125" style="2" customWidth="1"/>
    <col min="4115" max="4115" width="34.85546875" style="2" customWidth="1"/>
    <col min="4116" max="4352" width="16" style="2"/>
    <col min="4353" max="4353" width="21.42578125" style="2" customWidth="1"/>
    <col min="4354" max="4354" width="23.5703125" style="2" customWidth="1"/>
    <col min="4355" max="4355" width="15" style="2" customWidth="1"/>
    <col min="4356" max="4356" width="15.140625" style="2" customWidth="1"/>
    <col min="4357" max="4357" width="16" style="2" customWidth="1"/>
    <col min="4358" max="4358" width="16.140625" style="2" customWidth="1"/>
    <col min="4359" max="4359" width="17.140625" style="2" customWidth="1"/>
    <col min="4360" max="4360" width="15.28515625" style="2" customWidth="1"/>
    <col min="4361" max="4361" width="12.7109375" style="2" customWidth="1"/>
    <col min="4362" max="4362" width="15.140625" style="2" customWidth="1"/>
    <col min="4363" max="4363" width="15.28515625" style="2" customWidth="1"/>
    <col min="4364" max="4364" width="23.85546875" style="2" customWidth="1"/>
    <col min="4365" max="4365" width="25.5703125" style="2" customWidth="1"/>
    <col min="4366" max="4366" width="20.5703125" style="2" customWidth="1"/>
    <col min="4367" max="4367" width="16.7109375" style="2" customWidth="1"/>
    <col min="4368" max="4368" width="16" style="2"/>
    <col min="4369" max="4369" width="12.140625" style="2" customWidth="1"/>
    <col min="4370" max="4370" width="4.42578125" style="2" customWidth="1"/>
    <col min="4371" max="4371" width="34.85546875" style="2" customWidth="1"/>
    <col min="4372" max="4608" width="16" style="2"/>
    <col min="4609" max="4609" width="21.42578125" style="2" customWidth="1"/>
    <col min="4610" max="4610" width="23.5703125" style="2" customWidth="1"/>
    <col min="4611" max="4611" width="15" style="2" customWidth="1"/>
    <col min="4612" max="4612" width="15.140625" style="2" customWidth="1"/>
    <col min="4613" max="4613" width="16" style="2" customWidth="1"/>
    <col min="4614" max="4614" width="16.140625" style="2" customWidth="1"/>
    <col min="4615" max="4615" width="17.140625" style="2" customWidth="1"/>
    <col min="4616" max="4616" width="15.28515625" style="2" customWidth="1"/>
    <col min="4617" max="4617" width="12.7109375" style="2" customWidth="1"/>
    <col min="4618" max="4618" width="15.140625" style="2" customWidth="1"/>
    <col min="4619" max="4619" width="15.28515625" style="2" customWidth="1"/>
    <col min="4620" max="4620" width="23.85546875" style="2" customWidth="1"/>
    <col min="4621" max="4621" width="25.5703125" style="2" customWidth="1"/>
    <col min="4622" max="4622" width="20.5703125" style="2" customWidth="1"/>
    <col min="4623" max="4623" width="16.7109375" style="2" customWidth="1"/>
    <col min="4624" max="4624" width="16" style="2"/>
    <col min="4625" max="4625" width="12.140625" style="2" customWidth="1"/>
    <col min="4626" max="4626" width="4.42578125" style="2" customWidth="1"/>
    <col min="4627" max="4627" width="34.85546875" style="2" customWidth="1"/>
    <col min="4628" max="4864" width="16" style="2"/>
    <col min="4865" max="4865" width="21.42578125" style="2" customWidth="1"/>
    <col min="4866" max="4866" width="23.5703125" style="2" customWidth="1"/>
    <col min="4867" max="4867" width="15" style="2" customWidth="1"/>
    <col min="4868" max="4868" width="15.140625" style="2" customWidth="1"/>
    <col min="4869" max="4869" width="16" style="2" customWidth="1"/>
    <col min="4870" max="4870" width="16.140625" style="2" customWidth="1"/>
    <col min="4871" max="4871" width="17.140625" style="2" customWidth="1"/>
    <col min="4872" max="4872" width="15.28515625" style="2" customWidth="1"/>
    <col min="4873" max="4873" width="12.7109375" style="2" customWidth="1"/>
    <col min="4874" max="4874" width="15.140625" style="2" customWidth="1"/>
    <col min="4875" max="4875" width="15.28515625" style="2" customWidth="1"/>
    <col min="4876" max="4876" width="23.85546875" style="2" customWidth="1"/>
    <col min="4877" max="4877" width="25.5703125" style="2" customWidth="1"/>
    <col min="4878" max="4878" width="20.5703125" style="2" customWidth="1"/>
    <col min="4879" max="4879" width="16.7109375" style="2" customWidth="1"/>
    <col min="4880" max="4880" width="16" style="2"/>
    <col min="4881" max="4881" width="12.140625" style="2" customWidth="1"/>
    <col min="4882" max="4882" width="4.42578125" style="2" customWidth="1"/>
    <col min="4883" max="4883" width="34.85546875" style="2" customWidth="1"/>
    <col min="4884" max="5120" width="16" style="2"/>
    <col min="5121" max="5121" width="21.42578125" style="2" customWidth="1"/>
    <col min="5122" max="5122" width="23.5703125" style="2" customWidth="1"/>
    <col min="5123" max="5123" width="15" style="2" customWidth="1"/>
    <col min="5124" max="5124" width="15.140625" style="2" customWidth="1"/>
    <col min="5125" max="5125" width="16" style="2" customWidth="1"/>
    <col min="5126" max="5126" width="16.140625" style="2" customWidth="1"/>
    <col min="5127" max="5127" width="17.140625" style="2" customWidth="1"/>
    <col min="5128" max="5128" width="15.28515625" style="2" customWidth="1"/>
    <col min="5129" max="5129" width="12.7109375" style="2" customWidth="1"/>
    <col min="5130" max="5130" width="15.140625" style="2" customWidth="1"/>
    <col min="5131" max="5131" width="15.28515625" style="2" customWidth="1"/>
    <col min="5132" max="5132" width="23.85546875" style="2" customWidth="1"/>
    <col min="5133" max="5133" width="25.5703125" style="2" customWidth="1"/>
    <col min="5134" max="5134" width="20.5703125" style="2" customWidth="1"/>
    <col min="5135" max="5135" width="16.7109375" style="2" customWidth="1"/>
    <col min="5136" max="5136" width="16" style="2"/>
    <col min="5137" max="5137" width="12.140625" style="2" customWidth="1"/>
    <col min="5138" max="5138" width="4.42578125" style="2" customWidth="1"/>
    <col min="5139" max="5139" width="34.85546875" style="2" customWidth="1"/>
    <col min="5140" max="5376" width="16" style="2"/>
    <col min="5377" max="5377" width="21.42578125" style="2" customWidth="1"/>
    <col min="5378" max="5378" width="23.5703125" style="2" customWidth="1"/>
    <col min="5379" max="5379" width="15" style="2" customWidth="1"/>
    <col min="5380" max="5380" width="15.140625" style="2" customWidth="1"/>
    <col min="5381" max="5381" width="16" style="2" customWidth="1"/>
    <col min="5382" max="5382" width="16.140625" style="2" customWidth="1"/>
    <col min="5383" max="5383" width="17.140625" style="2" customWidth="1"/>
    <col min="5384" max="5384" width="15.28515625" style="2" customWidth="1"/>
    <col min="5385" max="5385" width="12.7109375" style="2" customWidth="1"/>
    <col min="5386" max="5386" width="15.140625" style="2" customWidth="1"/>
    <col min="5387" max="5387" width="15.28515625" style="2" customWidth="1"/>
    <col min="5388" max="5388" width="23.85546875" style="2" customWidth="1"/>
    <col min="5389" max="5389" width="25.5703125" style="2" customWidth="1"/>
    <col min="5390" max="5390" width="20.5703125" style="2" customWidth="1"/>
    <col min="5391" max="5391" width="16.7109375" style="2" customWidth="1"/>
    <col min="5392" max="5392" width="16" style="2"/>
    <col min="5393" max="5393" width="12.140625" style="2" customWidth="1"/>
    <col min="5394" max="5394" width="4.42578125" style="2" customWidth="1"/>
    <col min="5395" max="5395" width="34.85546875" style="2" customWidth="1"/>
    <col min="5396" max="5632" width="16" style="2"/>
    <col min="5633" max="5633" width="21.42578125" style="2" customWidth="1"/>
    <col min="5634" max="5634" width="23.5703125" style="2" customWidth="1"/>
    <col min="5635" max="5635" width="15" style="2" customWidth="1"/>
    <col min="5636" max="5636" width="15.140625" style="2" customWidth="1"/>
    <col min="5637" max="5637" width="16" style="2" customWidth="1"/>
    <col min="5638" max="5638" width="16.140625" style="2" customWidth="1"/>
    <col min="5639" max="5639" width="17.140625" style="2" customWidth="1"/>
    <col min="5640" max="5640" width="15.28515625" style="2" customWidth="1"/>
    <col min="5641" max="5641" width="12.7109375" style="2" customWidth="1"/>
    <col min="5642" max="5642" width="15.140625" style="2" customWidth="1"/>
    <col min="5643" max="5643" width="15.28515625" style="2" customWidth="1"/>
    <col min="5644" max="5644" width="23.85546875" style="2" customWidth="1"/>
    <col min="5645" max="5645" width="25.5703125" style="2" customWidth="1"/>
    <col min="5646" max="5646" width="20.5703125" style="2" customWidth="1"/>
    <col min="5647" max="5647" width="16.7109375" style="2" customWidth="1"/>
    <col min="5648" max="5648" width="16" style="2"/>
    <col min="5649" max="5649" width="12.140625" style="2" customWidth="1"/>
    <col min="5650" max="5650" width="4.42578125" style="2" customWidth="1"/>
    <col min="5651" max="5651" width="34.85546875" style="2" customWidth="1"/>
    <col min="5652" max="5888" width="16" style="2"/>
    <col min="5889" max="5889" width="21.42578125" style="2" customWidth="1"/>
    <col min="5890" max="5890" width="23.5703125" style="2" customWidth="1"/>
    <col min="5891" max="5891" width="15" style="2" customWidth="1"/>
    <col min="5892" max="5892" width="15.140625" style="2" customWidth="1"/>
    <col min="5893" max="5893" width="16" style="2" customWidth="1"/>
    <col min="5894" max="5894" width="16.140625" style="2" customWidth="1"/>
    <col min="5895" max="5895" width="17.140625" style="2" customWidth="1"/>
    <col min="5896" max="5896" width="15.28515625" style="2" customWidth="1"/>
    <col min="5897" max="5897" width="12.7109375" style="2" customWidth="1"/>
    <col min="5898" max="5898" width="15.140625" style="2" customWidth="1"/>
    <col min="5899" max="5899" width="15.28515625" style="2" customWidth="1"/>
    <col min="5900" max="5900" width="23.85546875" style="2" customWidth="1"/>
    <col min="5901" max="5901" width="25.5703125" style="2" customWidth="1"/>
    <col min="5902" max="5902" width="20.5703125" style="2" customWidth="1"/>
    <col min="5903" max="5903" width="16.7109375" style="2" customWidth="1"/>
    <col min="5904" max="5904" width="16" style="2"/>
    <col min="5905" max="5905" width="12.140625" style="2" customWidth="1"/>
    <col min="5906" max="5906" width="4.42578125" style="2" customWidth="1"/>
    <col min="5907" max="5907" width="34.85546875" style="2" customWidth="1"/>
    <col min="5908" max="6144" width="16" style="2"/>
    <col min="6145" max="6145" width="21.42578125" style="2" customWidth="1"/>
    <col min="6146" max="6146" width="23.5703125" style="2" customWidth="1"/>
    <col min="6147" max="6147" width="15" style="2" customWidth="1"/>
    <col min="6148" max="6148" width="15.140625" style="2" customWidth="1"/>
    <col min="6149" max="6149" width="16" style="2" customWidth="1"/>
    <col min="6150" max="6150" width="16.140625" style="2" customWidth="1"/>
    <col min="6151" max="6151" width="17.140625" style="2" customWidth="1"/>
    <col min="6152" max="6152" width="15.28515625" style="2" customWidth="1"/>
    <col min="6153" max="6153" width="12.7109375" style="2" customWidth="1"/>
    <col min="6154" max="6154" width="15.140625" style="2" customWidth="1"/>
    <col min="6155" max="6155" width="15.28515625" style="2" customWidth="1"/>
    <col min="6156" max="6156" width="23.85546875" style="2" customWidth="1"/>
    <col min="6157" max="6157" width="25.5703125" style="2" customWidth="1"/>
    <col min="6158" max="6158" width="20.5703125" style="2" customWidth="1"/>
    <col min="6159" max="6159" width="16.7109375" style="2" customWidth="1"/>
    <col min="6160" max="6160" width="16" style="2"/>
    <col min="6161" max="6161" width="12.140625" style="2" customWidth="1"/>
    <col min="6162" max="6162" width="4.42578125" style="2" customWidth="1"/>
    <col min="6163" max="6163" width="34.85546875" style="2" customWidth="1"/>
    <col min="6164" max="6400" width="16" style="2"/>
    <col min="6401" max="6401" width="21.42578125" style="2" customWidth="1"/>
    <col min="6402" max="6402" width="23.5703125" style="2" customWidth="1"/>
    <col min="6403" max="6403" width="15" style="2" customWidth="1"/>
    <col min="6404" max="6404" width="15.140625" style="2" customWidth="1"/>
    <col min="6405" max="6405" width="16" style="2" customWidth="1"/>
    <col min="6406" max="6406" width="16.140625" style="2" customWidth="1"/>
    <col min="6407" max="6407" width="17.140625" style="2" customWidth="1"/>
    <col min="6408" max="6408" width="15.28515625" style="2" customWidth="1"/>
    <col min="6409" max="6409" width="12.7109375" style="2" customWidth="1"/>
    <col min="6410" max="6410" width="15.140625" style="2" customWidth="1"/>
    <col min="6411" max="6411" width="15.28515625" style="2" customWidth="1"/>
    <col min="6412" max="6412" width="23.85546875" style="2" customWidth="1"/>
    <col min="6413" max="6413" width="25.5703125" style="2" customWidth="1"/>
    <col min="6414" max="6414" width="20.5703125" style="2" customWidth="1"/>
    <col min="6415" max="6415" width="16.7109375" style="2" customWidth="1"/>
    <col min="6416" max="6416" width="16" style="2"/>
    <col min="6417" max="6417" width="12.140625" style="2" customWidth="1"/>
    <col min="6418" max="6418" width="4.42578125" style="2" customWidth="1"/>
    <col min="6419" max="6419" width="34.85546875" style="2" customWidth="1"/>
    <col min="6420" max="6656" width="16" style="2"/>
    <col min="6657" max="6657" width="21.42578125" style="2" customWidth="1"/>
    <col min="6658" max="6658" width="23.5703125" style="2" customWidth="1"/>
    <col min="6659" max="6659" width="15" style="2" customWidth="1"/>
    <col min="6660" max="6660" width="15.140625" style="2" customWidth="1"/>
    <col min="6661" max="6661" width="16" style="2" customWidth="1"/>
    <col min="6662" max="6662" width="16.140625" style="2" customWidth="1"/>
    <col min="6663" max="6663" width="17.140625" style="2" customWidth="1"/>
    <col min="6664" max="6664" width="15.28515625" style="2" customWidth="1"/>
    <col min="6665" max="6665" width="12.7109375" style="2" customWidth="1"/>
    <col min="6666" max="6666" width="15.140625" style="2" customWidth="1"/>
    <col min="6667" max="6667" width="15.28515625" style="2" customWidth="1"/>
    <col min="6668" max="6668" width="23.85546875" style="2" customWidth="1"/>
    <col min="6669" max="6669" width="25.5703125" style="2" customWidth="1"/>
    <col min="6670" max="6670" width="20.5703125" style="2" customWidth="1"/>
    <col min="6671" max="6671" width="16.7109375" style="2" customWidth="1"/>
    <col min="6672" max="6672" width="16" style="2"/>
    <col min="6673" max="6673" width="12.140625" style="2" customWidth="1"/>
    <col min="6674" max="6674" width="4.42578125" style="2" customWidth="1"/>
    <col min="6675" max="6675" width="34.85546875" style="2" customWidth="1"/>
    <col min="6676" max="6912" width="16" style="2"/>
    <col min="6913" max="6913" width="21.42578125" style="2" customWidth="1"/>
    <col min="6914" max="6914" width="23.5703125" style="2" customWidth="1"/>
    <col min="6915" max="6915" width="15" style="2" customWidth="1"/>
    <col min="6916" max="6916" width="15.140625" style="2" customWidth="1"/>
    <col min="6917" max="6917" width="16" style="2" customWidth="1"/>
    <col min="6918" max="6918" width="16.140625" style="2" customWidth="1"/>
    <col min="6919" max="6919" width="17.140625" style="2" customWidth="1"/>
    <col min="6920" max="6920" width="15.28515625" style="2" customWidth="1"/>
    <col min="6921" max="6921" width="12.7109375" style="2" customWidth="1"/>
    <col min="6922" max="6922" width="15.140625" style="2" customWidth="1"/>
    <col min="6923" max="6923" width="15.28515625" style="2" customWidth="1"/>
    <col min="6924" max="6924" width="23.85546875" style="2" customWidth="1"/>
    <col min="6925" max="6925" width="25.5703125" style="2" customWidth="1"/>
    <col min="6926" max="6926" width="20.5703125" style="2" customWidth="1"/>
    <col min="6927" max="6927" width="16.7109375" style="2" customWidth="1"/>
    <col min="6928" max="6928" width="16" style="2"/>
    <col min="6929" max="6929" width="12.140625" style="2" customWidth="1"/>
    <col min="6930" max="6930" width="4.42578125" style="2" customWidth="1"/>
    <col min="6931" max="6931" width="34.85546875" style="2" customWidth="1"/>
    <col min="6932" max="7168" width="16" style="2"/>
    <col min="7169" max="7169" width="21.42578125" style="2" customWidth="1"/>
    <col min="7170" max="7170" width="23.5703125" style="2" customWidth="1"/>
    <col min="7171" max="7171" width="15" style="2" customWidth="1"/>
    <col min="7172" max="7172" width="15.140625" style="2" customWidth="1"/>
    <col min="7173" max="7173" width="16" style="2" customWidth="1"/>
    <col min="7174" max="7174" width="16.140625" style="2" customWidth="1"/>
    <col min="7175" max="7175" width="17.140625" style="2" customWidth="1"/>
    <col min="7176" max="7176" width="15.28515625" style="2" customWidth="1"/>
    <col min="7177" max="7177" width="12.7109375" style="2" customWidth="1"/>
    <col min="7178" max="7178" width="15.140625" style="2" customWidth="1"/>
    <col min="7179" max="7179" width="15.28515625" style="2" customWidth="1"/>
    <col min="7180" max="7180" width="23.85546875" style="2" customWidth="1"/>
    <col min="7181" max="7181" width="25.5703125" style="2" customWidth="1"/>
    <col min="7182" max="7182" width="20.5703125" style="2" customWidth="1"/>
    <col min="7183" max="7183" width="16.7109375" style="2" customWidth="1"/>
    <col min="7184" max="7184" width="16" style="2"/>
    <col min="7185" max="7185" width="12.140625" style="2" customWidth="1"/>
    <col min="7186" max="7186" width="4.42578125" style="2" customWidth="1"/>
    <col min="7187" max="7187" width="34.85546875" style="2" customWidth="1"/>
    <col min="7188" max="7424" width="16" style="2"/>
    <col min="7425" max="7425" width="21.42578125" style="2" customWidth="1"/>
    <col min="7426" max="7426" width="23.5703125" style="2" customWidth="1"/>
    <col min="7427" max="7427" width="15" style="2" customWidth="1"/>
    <col min="7428" max="7428" width="15.140625" style="2" customWidth="1"/>
    <col min="7429" max="7429" width="16" style="2" customWidth="1"/>
    <col min="7430" max="7430" width="16.140625" style="2" customWidth="1"/>
    <col min="7431" max="7431" width="17.140625" style="2" customWidth="1"/>
    <col min="7432" max="7432" width="15.28515625" style="2" customWidth="1"/>
    <col min="7433" max="7433" width="12.7109375" style="2" customWidth="1"/>
    <col min="7434" max="7434" width="15.140625" style="2" customWidth="1"/>
    <col min="7435" max="7435" width="15.28515625" style="2" customWidth="1"/>
    <col min="7436" max="7436" width="23.85546875" style="2" customWidth="1"/>
    <col min="7437" max="7437" width="25.5703125" style="2" customWidth="1"/>
    <col min="7438" max="7438" width="20.5703125" style="2" customWidth="1"/>
    <col min="7439" max="7439" width="16.7109375" style="2" customWidth="1"/>
    <col min="7440" max="7440" width="16" style="2"/>
    <col min="7441" max="7441" width="12.140625" style="2" customWidth="1"/>
    <col min="7442" max="7442" width="4.42578125" style="2" customWidth="1"/>
    <col min="7443" max="7443" width="34.85546875" style="2" customWidth="1"/>
    <col min="7444" max="7680" width="16" style="2"/>
    <col min="7681" max="7681" width="21.42578125" style="2" customWidth="1"/>
    <col min="7682" max="7682" width="23.5703125" style="2" customWidth="1"/>
    <col min="7683" max="7683" width="15" style="2" customWidth="1"/>
    <col min="7684" max="7684" width="15.140625" style="2" customWidth="1"/>
    <col min="7685" max="7685" width="16" style="2" customWidth="1"/>
    <col min="7686" max="7686" width="16.140625" style="2" customWidth="1"/>
    <col min="7687" max="7687" width="17.140625" style="2" customWidth="1"/>
    <col min="7688" max="7688" width="15.28515625" style="2" customWidth="1"/>
    <col min="7689" max="7689" width="12.7109375" style="2" customWidth="1"/>
    <col min="7690" max="7690" width="15.140625" style="2" customWidth="1"/>
    <col min="7691" max="7691" width="15.28515625" style="2" customWidth="1"/>
    <col min="7692" max="7692" width="23.85546875" style="2" customWidth="1"/>
    <col min="7693" max="7693" width="25.5703125" style="2" customWidth="1"/>
    <col min="7694" max="7694" width="20.5703125" style="2" customWidth="1"/>
    <col min="7695" max="7695" width="16.7109375" style="2" customWidth="1"/>
    <col min="7696" max="7696" width="16" style="2"/>
    <col min="7697" max="7697" width="12.140625" style="2" customWidth="1"/>
    <col min="7698" max="7698" width="4.42578125" style="2" customWidth="1"/>
    <col min="7699" max="7699" width="34.85546875" style="2" customWidth="1"/>
    <col min="7700" max="7936" width="16" style="2"/>
    <col min="7937" max="7937" width="21.42578125" style="2" customWidth="1"/>
    <col min="7938" max="7938" width="23.5703125" style="2" customWidth="1"/>
    <col min="7939" max="7939" width="15" style="2" customWidth="1"/>
    <col min="7940" max="7940" width="15.140625" style="2" customWidth="1"/>
    <col min="7941" max="7941" width="16" style="2" customWidth="1"/>
    <col min="7942" max="7942" width="16.140625" style="2" customWidth="1"/>
    <col min="7943" max="7943" width="17.140625" style="2" customWidth="1"/>
    <col min="7944" max="7944" width="15.28515625" style="2" customWidth="1"/>
    <col min="7945" max="7945" width="12.7109375" style="2" customWidth="1"/>
    <col min="7946" max="7946" width="15.140625" style="2" customWidth="1"/>
    <col min="7947" max="7947" width="15.28515625" style="2" customWidth="1"/>
    <col min="7948" max="7948" width="23.85546875" style="2" customWidth="1"/>
    <col min="7949" max="7949" width="25.5703125" style="2" customWidth="1"/>
    <col min="7950" max="7950" width="20.5703125" style="2" customWidth="1"/>
    <col min="7951" max="7951" width="16.7109375" style="2" customWidth="1"/>
    <col min="7952" max="7952" width="16" style="2"/>
    <col min="7953" max="7953" width="12.140625" style="2" customWidth="1"/>
    <col min="7954" max="7954" width="4.42578125" style="2" customWidth="1"/>
    <col min="7955" max="7955" width="34.85546875" style="2" customWidth="1"/>
    <col min="7956" max="8192" width="16" style="2"/>
    <col min="8193" max="8193" width="21.42578125" style="2" customWidth="1"/>
    <col min="8194" max="8194" width="23.5703125" style="2" customWidth="1"/>
    <col min="8195" max="8195" width="15" style="2" customWidth="1"/>
    <col min="8196" max="8196" width="15.140625" style="2" customWidth="1"/>
    <col min="8197" max="8197" width="16" style="2" customWidth="1"/>
    <col min="8198" max="8198" width="16.140625" style="2" customWidth="1"/>
    <col min="8199" max="8199" width="17.140625" style="2" customWidth="1"/>
    <col min="8200" max="8200" width="15.28515625" style="2" customWidth="1"/>
    <col min="8201" max="8201" width="12.7109375" style="2" customWidth="1"/>
    <col min="8202" max="8202" width="15.140625" style="2" customWidth="1"/>
    <col min="8203" max="8203" width="15.28515625" style="2" customWidth="1"/>
    <col min="8204" max="8204" width="23.85546875" style="2" customWidth="1"/>
    <col min="8205" max="8205" width="25.5703125" style="2" customWidth="1"/>
    <col min="8206" max="8206" width="20.5703125" style="2" customWidth="1"/>
    <col min="8207" max="8207" width="16.7109375" style="2" customWidth="1"/>
    <col min="8208" max="8208" width="16" style="2"/>
    <col min="8209" max="8209" width="12.140625" style="2" customWidth="1"/>
    <col min="8210" max="8210" width="4.42578125" style="2" customWidth="1"/>
    <col min="8211" max="8211" width="34.85546875" style="2" customWidth="1"/>
    <col min="8212" max="8448" width="16" style="2"/>
    <col min="8449" max="8449" width="21.42578125" style="2" customWidth="1"/>
    <col min="8450" max="8450" width="23.5703125" style="2" customWidth="1"/>
    <col min="8451" max="8451" width="15" style="2" customWidth="1"/>
    <col min="8452" max="8452" width="15.140625" style="2" customWidth="1"/>
    <col min="8453" max="8453" width="16" style="2" customWidth="1"/>
    <col min="8454" max="8454" width="16.140625" style="2" customWidth="1"/>
    <col min="8455" max="8455" width="17.140625" style="2" customWidth="1"/>
    <col min="8456" max="8456" width="15.28515625" style="2" customWidth="1"/>
    <col min="8457" max="8457" width="12.7109375" style="2" customWidth="1"/>
    <col min="8458" max="8458" width="15.140625" style="2" customWidth="1"/>
    <col min="8459" max="8459" width="15.28515625" style="2" customWidth="1"/>
    <col min="8460" max="8460" width="23.85546875" style="2" customWidth="1"/>
    <col min="8461" max="8461" width="25.5703125" style="2" customWidth="1"/>
    <col min="8462" max="8462" width="20.5703125" style="2" customWidth="1"/>
    <col min="8463" max="8463" width="16.7109375" style="2" customWidth="1"/>
    <col min="8464" max="8464" width="16" style="2"/>
    <col min="8465" max="8465" width="12.140625" style="2" customWidth="1"/>
    <col min="8466" max="8466" width="4.42578125" style="2" customWidth="1"/>
    <col min="8467" max="8467" width="34.85546875" style="2" customWidth="1"/>
    <col min="8468" max="8704" width="16" style="2"/>
    <col min="8705" max="8705" width="21.42578125" style="2" customWidth="1"/>
    <col min="8706" max="8706" width="23.5703125" style="2" customWidth="1"/>
    <col min="8707" max="8707" width="15" style="2" customWidth="1"/>
    <col min="8708" max="8708" width="15.140625" style="2" customWidth="1"/>
    <col min="8709" max="8709" width="16" style="2" customWidth="1"/>
    <col min="8710" max="8710" width="16.140625" style="2" customWidth="1"/>
    <col min="8711" max="8711" width="17.140625" style="2" customWidth="1"/>
    <col min="8712" max="8712" width="15.28515625" style="2" customWidth="1"/>
    <col min="8713" max="8713" width="12.7109375" style="2" customWidth="1"/>
    <col min="8714" max="8714" width="15.140625" style="2" customWidth="1"/>
    <col min="8715" max="8715" width="15.28515625" style="2" customWidth="1"/>
    <col min="8716" max="8716" width="23.85546875" style="2" customWidth="1"/>
    <col min="8717" max="8717" width="25.5703125" style="2" customWidth="1"/>
    <col min="8718" max="8718" width="20.5703125" style="2" customWidth="1"/>
    <col min="8719" max="8719" width="16.7109375" style="2" customWidth="1"/>
    <col min="8720" max="8720" width="16" style="2"/>
    <col min="8721" max="8721" width="12.140625" style="2" customWidth="1"/>
    <col min="8722" max="8722" width="4.42578125" style="2" customWidth="1"/>
    <col min="8723" max="8723" width="34.85546875" style="2" customWidth="1"/>
    <col min="8724" max="8960" width="16" style="2"/>
    <col min="8961" max="8961" width="21.42578125" style="2" customWidth="1"/>
    <col min="8962" max="8962" width="23.5703125" style="2" customWidth="1"/>
    <col min="8963" max="8963" width="15" style="2" customWidth="1"/>
    <col min="8964" max="8964" width="15.140625" style="2" customWidth="1"/>
    <col min="8965" max="8965" width="16" style="2" customWidth="1"/>
    <col min="8966" max="8966" width="16.140625" style="2" customWidth="1"/>
    <col min="8967" max="8967" width="17.140625" style="2" customWidth="1"/>
    <col min="8968" max="8968" width="15.28515625" style="2" customWidth="1"/>
    <col min="8969" max="8969" width="12.7109375" style="2" customWidth="1"/>
    <col min="8970" max="8970" width="15.140625" style="2" customWidth="1"/>
    <col min="8971" max="8971" width="15.28515625" style="2" customWidth="1"/>
    <col min="8972" max="8972" width="23.85546875" style="2" customWidth="1"/>
    <col min="8973" max="8973" width="25.5703125" style="2" customWidth="1"/>
    <col min="8974" max="8974" width="20.5703125" style="2" customWidth="1"/>
    <col min="8975" max="8975" width="16.7109375" style="2" customWidth="1"/>
    <col min="8976" max="8976" width="16" style="2"/>
    <col min="8977" max="8977" width="12.140625" style="2" customWidth="1"/>
    <col min="8978" max="8978" width="4.42578125" style="2" customWidth="1"/>
    <col min="8979" max="8979" width="34.85546875" style="2" customWidth="1"/>
    <col min="8980" max="9216" width="16" style="2"/>
    <col min="9217" max="9217" width="21.42578125" style="2" customWidth="1"/>
    <col min="9218" max="9218" width="23.5703125" style="2" customWidth="1"/>
    <col min="9219" max="9219" width="15" style="2" customWidth="1"/>
    <col min="9220" max="9220" width="15.140625" style="2" customWidth="1"/>
    <col min="9221" max="9221" width="16" style="2" customWidth="1"/>
    <col min="9222" max="9222" width="16.140625" style="2" customWidth="1"/>
    <col min="9223" max="9223" width="17.140625" style="2" customWidth="1"/>
    <col min="9224" max="9224" width="15.28515625" style="2" customWidth="1"/>
    <col min="9225" max="9225" width="12.7109375" style="2" customWidth="1"/>
    <col min="9226" max="9226" width="15.140625" style="2" customWidth="1"/>
    <col min="9227" max="9227" width="15.28515625" style="2" customWidth="1"/>
    <col min="9228" max="9228" width="23.85546875" style="2" customWidth="1"/>
    <col min="9229" max="9229" width="25.5703125" style="2" customWidth="1"/>
    <col min="9230" max="9230" width="20.5703125" style="2" customWidth="1"/>
    <col min="9231" max="9231" width="16.7109375" style="2" customWidth="1"/>
    <col min="9232" max="9232" width="16" style="2"/>
    <col min="9233" max="9233" width="12.140625" style="2" customWidth="1"/>
    <col min="9234" max="9234" width="4.42578125" style="2" customWidth="1"/>
    <col min="9235" max="9235" width="34.85546875" style="2" customWidth="1"/>
    <col min="9236" max="9472" width="16" style="2"/>
    <col min="9473" max="9473" width="21.42578125" style="2" customWidth="1"/>
    <col min="9474" max="9474" width="23.5703125" style="2" customWidth="1"/>
    <col min="9475" max="9475" width="15" style="2" customWidth="1"/>
    <col min="9476" max="9476" width="15.140625" style="2" customWidth="1"/>
    <col min="9477" max="9477" width="16" style="2" customWidth="1"/>
    <col min="9478" max="9478" width="16.140625" style="2" customWidth="1"/>
    <col min="9479" max="9479" width="17.140625" style="2" customWidth="1"/>
    <col min="9480" max="9480" width="15.28515625" style="2" customWidth="1"/>
    <col min="9481" max="9481" width="12.7109375" style="2" customWidth="1"/>
    <col min="9482" max="9482" width="15.140625" style="2" customWidth="1"/>
    <col min="9483" max="9483" width="15.28515625" style="2" customWidth="1"/>
    <col min="9484" max="9484" width="23.85546875" style="2" customWidth="1"/>
    <col min="9485" max="9485" width="25.5703125" style="2" customWidth="1"/>
    <col min="9486" max="9486" width="20.5703125" style="2" customWidth="1"/>
    <col min="9487" max="9487" width="16.7109375" style="2" customWidth="1"/>
    <col min="9488" max="9488" width="16" style="2"/>
    <col min="9489" max="9489" width="12.140625" style="2" customWidth="1"/>
    <col min="9490" max="9490" width="4.42578125" style="2" customWidth="1"/>
    <col min="9491" max="9491" width="34.85546875" style="2" customWidth="1"/>
    <col min="9492" max="9728" width="16" style="2"/>
    <col min="9729" max="9729" width="21.42578125" style="2" customWidth="1"/>
    <col min="9730" max="9730" width="23.5703125" style="2" customWidth="1"/>
    <col min="9731" max="9731" width="15" style="2" customWidth="1"/>
    <col min="9732" max="9732" width="15.140625" style="2" customWidth="1"/>
    <col min="9733" max="9733" width="16" style="2" customWidth="1"/>
    <col min="9734" max="9734" width="16.140625" style="2" customWidth="1"/>
    <col min="9735" max="9735" width="17.140625" style="2" customWidth="1"/>
    <col min="9736" max="9736" width="15.28515625" style="2" customWidth="1"/>
    <col min="9737" max="9737" width="12.7109375" style="2" customWidth="1"/>
    <col min="9738" max="9738" width="15.140625" style="2" customWidth="1"/>
    <col min="9739" max="9739" width="15.28515625" style="2" customWidth="1"/>
    <col min="9740" max="9740" width="23.85546875" style="2" customWidth="1"/>
    <col min="9741" max="9741" width="25.5703125" style="2" customWidth="1"/>
    <col min="9742" max="9742" width="20.5703125" style="2" customWidth="1"/>
    <col min="9743" max="9743" width="16.7109375" style="2" customWidth="1"/>
    <col min="9744" max="9744" width="16" style="2"/>
    <col min="9745" max="9745" width="12.140625" style="2" customWidth="1"/>
    <col min="9746" max="9746" width="4.42578125" style="2" customWidth="1"/>
    <col min="9747" max="9747" width="34.85546875" style="2" customWidth="1"/>
    <col min="9748" max="9984" width="16" style="2"/>
    <col min="9985" max="9985" width="21.42578125" style="2" customWidth="1"/>
    <col min="9986" max="9986" width="23.5703125" style="2" customWidth="1"/>
    <col min="9987" max="9987" width="15" style="2" customWidth="1"/>
    <col min="9988" max="9988" width="15.140625" style="2" customWidth="1"/>
    <col min="9989" max="9989" width="16" style="2" customWidth="1"/>
    <col min="9990" max="9990" width="16.140625" style="2" customWidth="1"/>
    <col min="9991" max="9991" width="17.140625" style="2" customWidth="1"/>
    <col min="9992" max="9992" width="15.28515625" style="2" customWidth="1"/>
    <col min="9993" max="9993" width="12.7109375" style="2" customWidth="1"/>
    <col min="9994" max="9994" width="15.140625" style="2" customWidth="1"/>
    <col min="9995" max="9995" width="15.28515625" style="2" customWidth="1"/>
    <col min="9996" max="9996" width="23.85546875" style="2" customWidth="1"/>
    <col min="9997" max="9997" width="25.5703125" style="2" customWidth="1"/>
    <col min="9998" max="9998" width="20.5703125" style="2" customWidth="1"/>
    <col min="9999" max="9999" width="16.7109375" style="2" customWidth="1"/>
    <col min="10000" max="10000" width="16" style="2"/>
    <col min="10001" max="10001" width="12.140625" style="2" customWidth="1"/>
    <col min="10002" max="10002" width="4.42578125" style="2" customWidth="1"/>
    <col min="10003" max="10003" width="34.85546875" style="2" customWidth="1"/>
    <col min="10004" max="10240" width="16" style="2"/>
    <col min="10241" max="10241" width="21.42578125" style="2" customWidth="1"/>
    <col min="10242" max="10242" width="23.5703125" style="2" customWidth="1"/>
    <col min="10243" max="10243" width="15" style="2" customWidth="1"/>
    <col min="10244" max="10244" width="15.140625" style="2" customWidth="1"/>
    <col min="10245" max="10245" width="16" style="2" customWidth="1"/>
    <col min="10246" max="10246" width="16.140625" style="2" customWidth="1"/>
    <col min="10247" max="10247" width="17.140625" style="2" customWidth="1"/>
    <col min="10248" max="10248" width="15.28515625" style="2" customWidth="1"/>
    <col min="10249" max="10249" width="12.7109375" style="2" customWidth="1"/>
    <col min="10250" max="10250" width="15.140625" style="2" customWidth="1"/>
    <col min="10251" max="10251" width="15.28515625" style="2" customWidth="1"/>
    <col min="10252" max="10252" width="23.85546875" style="2" customWidth="1"/>
    <col min="10253" max="10253" width="25.5703125" style="2" customWidth="1"/>
    <col min="10254" max="10254" width="20.5703125" style="2" customWidth="1"/>
    <col min="10255" max="10255" width="16.7109375" style="2" customWidth="1"/>
    <col min="10256" max="10256" width="16" style="2"/>
    <col min="10257" max="10257" width="12.140625" style="2" customWidth="1"/>
    <col min="10258" max="10258" width="4.42578125" style="2" customWidth="1"/>
    <col min="10259" max="10259" width="34.85546875" style="2" customWidth="1"/>
    <col min="10260" max="10496" width="16" style="2"/>
    <col min="10497" max="10497" width="21.42578125" style="2" customWidth="1"/>
    <col min="10498" max="10498" width="23.5703125" style="2" customWidth="1"/>
    <col min="10499" max="10499" width="15" style="2" customWidth="1"/>
    <col min="10500" max="10500" width="15.140625" style="2" customWidth="1"/>
    <col min="10501" max="10501" width="16" style="2" customWidth="1"/>
    <col min="10502" max="10502" width="16.140625" style="2" customWidth="1"/>
    <col min="10503" max="10503" width="17.140625" style="2" customWidth="1"/>
    <col min="10504" max="10504" width="15.28515625" style="2" customWidth="1"/>
    <col min="10505" max="10505" width="12.7109375" style="2" customWidth="1"/>
    <col min="10506" max="10506" width="15.140625" style="2" customWidth="1"/>
    <col min="10507" max="10507" width="15.28515625" style="2" customWidth="1"/>
    <col min="10508" max="10508" width="23.85546875" style="2" customWidth="1"/>
    <col min="10509" max="10509" width="25.5703125" style="2" customWidth="1"/>
    <col min="10510" max="10510" width="20.5703125" style="2" customWidth="1"/>
    <col min="10511" max="10511" width="16.7109375" style="2" customWidth="1"/>
    <col min="10512" max="10512" width="16" style="2"/>
    <col min="10513" max="10513" width="12.140625" style="2" customWidth="1"/>
    <col min="10514" max="10514" width="4.42578125" style="2" customWidth="1"/>
    <col min="10515" max="10515" width="34.85546875" style="2" customWidth="1"/>
    <col min="10516" max="10752" width="16" style="2"/>
    <col min="10753" max="10753" width="21.42578125" style="2" customWidth="1"/>
    <col min="10754" max="10754" width="23.5703125" style="2" customWidth="1"/>
    <col min="10755" max="10755" width="15" style="2" customWidth="1"/>
    <col min="10756" max="10756" width="15.140625" style="2" customWidth="1"/>
    <col min="10757" max="10757" width="16" style="2" customWidth="1"/>
    <col min="10758" max="10758" width="16.140625" style="2" customWidth="1"/>
    <col min="10759" max="10759" width="17.140625" style="2" customWidth="1"/>
    <col min="10760" max="10760" width="15.28515625" style="2" customWidth="1"/>
    <col min="10761" max="10761" width="12.7109375" style="2" customWidth="1"/>
    <col min="10762" max="10762" width="15.140625" style="2" customWidth="1"/>
    <col min="10763" max="10763" width="15.28515625" style="2" customWidth="1"/>
    <col min="10764" max="10764" width="23.85546875" style="2" customWidth="1"/>
    <col min="10765" max="10765" width="25.5703125" style="2" customWidth="1"/>
    <col min="10766" max="10766" width="20.5703125" style="2" customWidth="1"/>
    <col min="10767" max="10767" width="16.7109375" style="2" customWidth="1"/>
    <col min="10768" max="10768" width="16" style="2"/>
    <col min="10769" max="10769" width="12.140625" style="2" customWidth="1"/>
    <col min="10770" max="10770" width="4.42578125" style="2" customWidth="1"/>
    <col min="10771" max="10771" width="34.85546875" style="2" customWidth="1"/>
    <col min="10772" max="11008" width="16" style="2"/>
    <col min="11009" max="11009" width="21.42578125" style="2" customWidth="1"/>
    <col min="11010" max="11010" width="23.5703125" style="2" customWidth="1"/>
    <col min="11011" max="11011" width="15" style="2" customWidth="1"/>
    <col min="11012" max="11012" width="15.140625" style="2" customWidth="1"/>
    <col min="11013" max="11013" width="16" style="2" customWidth="1"/>
    <col min="11014" max="11014" width="16.140625" style="2" customWidth="1"/>
    <col min="11015" max="11015" width="17.140625" style="2" customWidth="1"/>
    <col min="11016" max="11016" width="15.28515625" style="2" customWidth="1"/>
    <col min="11017" max="11017" width="12.7109375" style="2" customWidth="1"/>
    <col min="11018" max="11018" width="15.140625" style="2" customWidth="1"/>
    <col min="11019" max="11019" width="15.28515625" style="2" customWidth="1"/>
    <col min="11020" max="11020" width="23.85546875" style="2" customWidth="1"/>
    <col min="11021" max="11021" width="25.5703125" style="2" customWidth="1"/>
    <col min="11022" max="11022" width="20.5703125" style="2" customWidth="1"/>
    <col min="11023" max="11023" width="16.7109375" style="2" customWidth="1"/>
    <col min="11024" max="11024" width="16" style="2"/>
    <col min="11025" max="11025" width="12.140625" style="2" customWidth="1"/>
    <col min="11026" max="11026" width="4.42578125" style="2" customWidth="1"/>
    <col min="11027" max="11027" width="34.85546875" style="2" customWidth="1"/>
    <col min="11028" max="11264" width="16" style="2"/>
    <col min="11265" max="11265" width="21.42578125" style="2" customWidth="1"/>
    <col min="11266" max="11266" width="23.5703125" style="2" customWidth="1"/>
    <col min="11267" max="11267" width="15" style="2" customWidth="1"/>
    <col min="11268" max="11268" width="15.140625" style="2" customWidth="1"/>
    <col min="11269" max="11269" width="16" style="2" customWidth="1"/>
    <col min="11270" max="11270" width="16.140625" style="2" customWidth="1"/>
    <col min="11271" max="11271" width="17.140625" style="2" customWidth="1"/>
    <col min="11272" max="11272" width="15.28515625" style="2" customWidth="1"/>
    <col min="11273" max="11273" width="12.7109375" style="2" customWidth="1"/>
    <col min="11274" max="11274" width="15.140625" style="2" customWidth="1"/>
    <col min="11275" max="11275" width="15.28515625" style="2" customWidth="1"/>
    <col min="11276" max="11276" width="23.85546875" style="2" customWidth="1"/>
    <col min="11277" max="11277" width="25.5703125" style="2" customWidth="1"/>
    <col min="11278" max="11278" width="20.5703125" style="2" customWidth="1"/>
    <col min="11279" max="11279" width="16.7109375" style="2" customWidth="1"/>
    <col min="11280" max="11280" width="16" style="2"/>
    <col min="11281" max="11281" width="12.140625" style="2" customWidth="1"/>
    <col min="11282" max="11282" width="4.42578125" style="2" customWidth="1"/>
    <col min="11283" max="11283" width="34.85546875" style="2" customWidth="1"/>
    <col min="11284" max="11520" width="16" style="2"/>
    <col min="11521" max="11521" width="21.42578125" style="2" customWidth="1"/>
    <col min="11522" max="11522" width="23.5703125" style="2" customWidth="1"/>
    <col min="11523" max="11523" width="15" style="2" customWidth="1"/>
    <col min="11524" max="11524" width="15.140625" style="2" customWidth="1"/>
    <col min="11525" max="11525" width="16" style="2" customWidth="1"/>
    <col min="11526" max="11526" width="16.140625" style="2" customWidth="1"/>
    <col min="11527" max="11527" width="17.140625" style="2" customWidth="1"/>
    <col min="11528" max="11528" width="15.28515625" style="2" customWidth="1"/>
    <col min="11529" max="11529" width="12.7109375" style="2" customWidth="1"/>
    <col min="11530" max="11530" width="15.140625" style="2" customWidth="1"/>
    <col min="11531" max="11531" width="15.28515625" style="2" customWidth="1"/>
    <col min="11532" max="11532" width="23.85546875" style="2" customWidth="1"/>
    <col min="11533" max="11533" width="25.5703125" style="2" customWidth="1"/>
    <col min="11534" max="11534" width="20.5703125" style="2" customWidth="1"/>
    <col min="11535" max="11535" width="16.7109375" style="2" customWidth="1"/>
    <col min="11536" max="11536" width="16" style="2"/>
    <col min="11537" max="11537" width="12.140625" style="2" customWidth="1"/>
    <col min="11538" max="11538" width="4.42578125" style="2" customWidth="1"/>
    <col min="11539" max="11539" width="34.85546875" style="2" customWidth="1"/>
    <col min="11540" max="11776" width="16" style="2"/>
    <col min="11777" max="11777" width="21.42578125" style="2" customWidth="1"/>
    <col min="11778" max="11778" width="23.5703125" style="2" customWidth="1"/>
    <col min="11779" max="11779" width="15" style="2" customWidth="1"/>
    <col min="11780" max="11780" width="15.140625" style="2" customWidth="1"/>
    <col min="11781" max="11781" width="16" style="2" customWidth="1"/>
    <col min="11782" max="11782" width="16.140625" style="2" customWidth="1"/>
    <col min="11783" max="11783" width="17.140625" style="2" customWidth="1"/>
    <col min="11784" max="11784" width="15.28515625" style="2" customWidth="1"/>
    <col min="11785" max="11785" width="12.7109375" style="2" customWidth="1"/>
    <col min="11786" max="11786" width="15.140625" style="2" customWidth="1"/>
    <col min="11787" max="11787" width="15.28515625" style="2" customWidth="1"/>
    <col min="11788" max="11788" width="23.85546875" style="2" customWidth="1"/>
    <col min="11789" max="11789" width="25.5703125" style="2" customWidth="1"/>
    <col min="11790" max="11790" width="20.5703125" style="2" customWidth="1"/>
    <col min="11791" max="11791" width="16.7109375" style="2" customWidth="1"/>
    <col min="11792" max="11792" width="16" style="2"/>
    <col min="11793" max="11793" width="12.140625" style="2" customWidth="1"/>
    <col min="11794" max="11794" width="4.42578125" style="2" customWidth="1"/>
    <col min="11795" max="11795" width="34.85546875" style="2" customWidth="1"/>
    <col min="11796" max="12032" width="16" style="2"/>
    <col min="12033" max="12033" width="21.42578125" style="2" customWidth="1"/>
    <col min="12034" max="12034" width="23.5703125" style="2" customWidth="1"/>
    <col min="12035" max="12035" width="15" style="2" customWidth="1"/>
    <col min="12036" max="12036" width="15.140625" style="2" customWidth="1"/>
    <col min="12037" max="12037" width="16" style="2" customWidth="1"/>
    <col min="12038" max="12038" width="16.140625" style="2" customWidth="1"/>
    <col min="12039" max="12039" width="17.140625" style="2" customWidth="1"/>
    <col min="12040" max="12040" width="15.28515625" style="2" customWidth="1"/>
    <col min="12041" max="12041" width="12.7109375" style="2" customWidth="1"/>
    <col min="12042" max="12042" width="15.140625" style="2" customWidth="1"/>
    <col min="12043" max="12043" width="15.28515625" style="2" customWidth="1"/>
    <col min="12044" max="12044" width="23.85546875" style="2" customWidth="1"/>
    <col min="12045" max="12045" width="25.5703125" style="2" customWidth="1"/>
    <col min="12046" max="12046" width="20.5703125" style="2" customWidth="1"/>
    <col min="12047" max="12047" width="16.7109375" style="2" customWidth="1"/>
    <col min="12048" max="12048" width="16" style="2"/>
    <col min="12049" max="12049" width="12.140625" style="2" customWidth="1"/>
    <col min="12050" max="12050" width="4.42578125" style="2" customWidth="1"/>
    <col min="12051" max="12051" width="34.85546875" style="2" customWidth="1"/>
    <col min="12052" max="12288" width="16" style="2"/>
    <col min="12289" max="12289" width="21.42578125" style="2" customWidth="1"/>
    <col min="12290" max="12290" width="23.5703125" style="2" customWidth="1"/>
    <col min="12291" max="12291" width="15" style="2" customWidth="1"/>
    <col min="12292" max="12292" width="15.140625" style="2" customWidth="1"/>
    <col min="12293" max="12293" width="16" style="2" customWidth="1"/>
    <col min="12294" max="12294" width="16.140625" style="2" customWidth="1"/>
    <col min="12295" max="12295" width="17.140625" style="2" customWidth="1"/>
    <col min="12296" max="12296" width="15.28515625" style="2" customWidth="1"/>
    <col min="12297" max="12297" width="12.7109375" style="2" customWidth="1"/>
    <col min="12298" max="12298" width="15.140625" style="2" customWidth="1"/>
    <col min="12299" max="12299" width="15.28515625" style="2" customWidth="1"/>
    <col min="12300" max="12300" width="23.85546875" style="2" customWidth="1"/>
    <col min="12301" max="12301" width="25.5703125" style="2" customWidth="1"/>
    <col min="12302" max="12302" width="20.5703125" style="2" customWidth="1"/>
    <col min="12303" max="12303" width="16.7109375" style="2" customWidth="1"/>
    <col min="12304" max="12304" width="16" style="2"/>
    <col min="12305" max="12305" width="12.140625" style="2" customWidth="1"/>
    <col min="12306" max="12306" width="4.42578125" style="2" customWidth="1"/>
    <col min="12307" max="12307" width="34.85546875" style="2" customWidth="1"/>
    <col min="12308" max="12544" width="16" style="2"/>
    <col min="12545" max="12545" width="21.42578125" style="2" customWidth="1"/>
    <col min="12546" max="12546" width="23.5703125" style="2" customWidth="1"/>
    <col min="12547" max="12547" width="15" style="2" customWidth="1"/>
    <col min="12548" max="12548" width="15.140625" style="2" customWidth="1"/>
    <col min="12549" max="12549" width="16" style="2" customWidth="1"/>
    <col min="12550" max="12550" width="16.140625" style="2" customWidth="1"/>
    <col min="12551" max="12551" width="17.140625" style="2" customWidth="1"/>
    <col min="12552" max="12552" width="15.28515625" style="2" customWidth="1"/>
    <col min="12553" max="12553" width="12.7109375" style="2" customWidth="1"/>
    <col min="12554" max="12554" width="15.140625" style="2" customWidth="1"/>
    <col min="12555" max="12555" width="15.28515625" style="2" customWidth="1"/>
    <col min="12556" max="12556" width="23.85546875" style="2" customWidth="1"/>
    <col min="12557" max="12557" width="25.5703125" style="2" customWidth="1"/>
    <col min="12558" max="12558" width="20.5703125" style="2" customWidth="1"/>
    <col min="12559" max="12559" width="16.7109375" style="2" customWidth="1"/>
    <col min="12560" max="12560" width="16" style="2"/>
    <col min="12561" max="12561" width="12.140625" style="2" customWidth="1"/>
    <col min="12562" max="12562" width="4.42578125" style="2" customWidth="1"/>
    <col min="12563" max="12563" width="34.85546875" style="2" customWidth="1"/>
    <col min="12564" max="12800" width="16" style="2"/>
    <col min="12801" max="12801" width="21.42578125" style="2" customWidth="1"/>
    <col min="12802" max="12802" width="23.5703125" style="2" customWidth="1"/>
    <col min="12803" max="12803" width="15" style="2" customWidth="1"/>
    <col min="12804" max="12804" width="15.140625" style="2" customWidth="1"/>
    <col min="12805" max="12805" width="16" style="2" customWidth="1"/>
    <col min="12806" max="12806" width="16.140625" style="2" customWidth="1"/>
    <col min="12807" max="12807" width="17.140625" style="2" customWidth="1"/>
    <col min="12808" max="12808" width="15.28515625" style="2" customWidth="1"/>
    <col min="12809" max="12809" width="12.7109375" style="2" customWidth="1"/>
    <col min="12810" max="12810" width="15.140625" style="2" customWidth="1"/>
    <col min="12811" max="12811" width="15.28515625" style="2" customWidth="1"/>
    <col min="12812" max="12812" width="23.85546875" style="2" customWidth="1"/>
    <col min="12813" max="12813" width="25.5703125" style="2" customWidth="1"/>
    <col min="12814" max="12814" width="20.5703125" style="2" customWidth="1"/>
    <col min="12815" max="12815" width="16.7109375" style="2" customWidth="1"/>
    <col min="12816" max="12816" width="16" style="2"/>
    <col min="12817" max="12817" width="12.140625" style="2" customWidth="1"/>
    <col min="12818" max="12818" width="4.42578125" style="2" customWidth="1"/>
    <col min="12819" max="12819" width="34.85546875" style="2" customWidth="1"/>
    <col min="12820" max="13056" width="16" style="2"/>
    <col min="13057" max="13057" width="21.42578125" style="2" customWidth="1"/>
    <col min="13058" max="13058" width="23.5703125" style="2" customWidth="1"/>
    <col min="13059" max="13059" width="15" style="2" customWidth="1"/>
    <col min="13060" max="13060" width="15.140625" style="2" customWidth="1"/>
    <col min="13061" max="13061" width="16" style="2" customWidth="1"/>
    <col min="13062" max="13062" width="16.140625" style="2" customWidth="1"/>
    <col min="13063" max="13063" width="17.140625" style="2" customWidth="1"/>
    <col min="13064" max="13064" width="15.28515625" style="2" customWidth="1"/>
    <col min="13065" max="13065" width="12.7109375" style="2" customWidth="1"/>
    <col min="13066" max="13066" width="15.140625" style="2" customWidth="1"/>
    <col min="13067" max="13067" width="15.28515625" style="2" customWidth="1"/>
    <col min="13068" max="13068" width="23.85546875" style="2" customWidth="1"/>
    <col min="13069" max="13069" width="25.5703125" style="2" customWidth="1"/>
    <col min="13070" max="13070" width="20.5703125" style="2" customWidth="1"/>
    <col min="13071" max="13071" width="16.7109375" style="2" customWidth="1"/>
    <col min="13072" max="13072" width="16" style="2"/>
    <col min="13073" max="13073" width="12.140625" style="2" customWidth="1"/>
    <col min="13074" max="13074" width="4.42578125" style="2" customWidth="1"/>
    <col min="13075" max="13075" width="34.85546875" style="2" customWidth="1"/>
    <col min="13076" max="13312" width="16" style="2"/>
    <col min="13313" max="13313" width="21.42578125" style="2" customWidth="1"/>
    <col min="13314" max="13314" width="23.5703125" style="2" customWidth="1"/>
    <col min="13315" max="13315" width="15" style="2" customWidth="1"/>
    <col min="13316" max="13316" width="15.140625" style="2" customWidth="1"/>
    <col min="13317" max="13317" width="16" style="2" customWidth="1"/>
    <col min="13318" max="13318" width="16.140625" style="2" customWidth="1"/>
    <col min="13319" max="13319" width="17.140625" style="2" customWidth="1"/>
    <col min="13320" max="13320" width="15.28515625" style="2" customWidth="1"/>
    <col min="13321" max="13321" width="12.7109375" style="2" customWidth="1"/>
    <col min="13322" max="13322" width="15.140625" style="2" customWidth="1"/>
    <col min="13323" max="13323" width="15.28515625" style="2" customWidth="1"/>
    <col min="13324" max="13324" width="23.85546875" style="2" customWidth="1"/>
    <col min="13325" max="13325" width="25.5703125" style="2" customWidth="1"/>
    <col min="13326" max="13326" width="20.5703125" style="2" customWidth="1"/>
    <col min="13327" max="13327" width="16.7109375" style="2" customWidth="1"/>
    <col min="13328" max="13328" width="16" style="2"/>
    <col min="13329" max="13329" width="12.140625" style="2" customWidth="1"/>
    <col min="13330" max="13330" width="4.42578125" style="2" customWidth="1"/>
    <col min="13331" max="13331" width="34.85546875" style="2" customWidth="1"/>
    <col min="13332" max="13568" width="16" style="2"/>
    <col min="13569" max="13569" width="21.42578125" style="2" customWidth="1"/>
    <col min="13570" max="13570" width="23.5703125" style="2" customWidth="1"/>
    <col min="13571" max="13571" width="15" style="2" customWidth="1"/>
    <col min="13572" max="13572" width="15.140625" style="2" customWidth="1"/>
    <col min="13573" max="13573" width="16" style="2" customWidth="1"/>
    <col min="13574" max="13574" width="16.140625" style="2" customWidth="1"/>
    <col min="13575" max="13575" width="17.140625" style="2" customWidth="1"/>
    <col min="13576" max="13576" width="15.28515625" style="2" customWidth="1"/>
    <col min="13577" max="13577" width="12.7109375" style="2" customWidth="1"/>
    <col min="13578" max="13578" width="15.140625" style="2" customWidth="1"/>
    <col min="13579" max="13579" width="15.28515625" style="2" customWidth="1"/>
    <col min="13580" max="13580" width="23.85546875" style="2" customWidth="1"/>
    <col min="13581" max="13581" width="25.5703125" style="2" customWidth="1"/>
    <col min="13582" max="13582" width="20.5703125" style="2" customWidth="1"/>
    <col min="13583" max="13583" width="16.7109375" style="2" customWidth="1"/>
    <col min="13584" max="13584" width="16" style="2"/>
    <col min="13585" max="13585" width="12.140625" style="2" customWidth="1"/>
    <col min="13586" max="13586" width="4.42578125" style="2" customWidth="1"/>
    <col min="13587" max="13587" width="34.85546875" style="2" customWidth="1"/>
    <col min="13588" max="13824" width="16" style="2"/>
    <col min="13825" max="13825" width="21.42578125" style="2" customWidth="1"/>
    <col min="13826" max="13826" width="23.5703125" style="2" customWidth="1"/>
    <col min="13827" max="13827" width="15" style="2" customWidth="1"/>
    <col min="13828" max="13828" width="15.140625" style="2" customWidth="1"/>
    <col min="13829" max="13829" width="16" style="2" customWidth="1"/>
    <col min="13830" max="13830" width="16.140625" style="2" customWidth="1"/>
    <col min="13831" max="13831" width="17.140625" style="2" customWidth="1"/>
    <col min="13832" max="13832" width="15.28515625" style="2" customWidth="1"/>
    <col min="13833" max="13833" width="12.7109375" style="2" customWidth="1"/>
    <col min="13834" max="13834" width="15.140625" style="2" customWidth="1"/>
    <col min="13835" max="13835" width="15.28515625" style="2" customWidth="1"/>
    <col min="13836" max="13836" width="23.85546875" style="2" customWidth="1"/>
    <col min="13837" max="13837" width="25.5703125" style="2" customWidth="1"/>
    <col min="13838" max="13838" width="20.5703125" style="2" customWidth="1"/>
    <col min="13839" max="13839" width="16.7109375" style="2" customWidth="1"/>
    <col min="13840" max="13840" width="16" style="2"/>
    <col min="13841" max="13841" width="12.140625" style="2" customWidth="1"/>
    <col min="13842" max="13842" width="4.42578125" style="2" customWidth="1"/>
    <col min="13843" max="13843" width="34.85546875" style="2" customWidth="1"/>
    <col min="13844" max="14080" width="16" style="2"/>
    <col min="14081" max="14081" width="21.42578125" style="2" customWidth="1"/>
    <col min="14082" max="14082" width="23.5703125" style="2" customWidth="1"/>
    <col min="14083" max="14083" width="15" style="2" customWidth="1"/>
    <col min="14084" max="14084" width="15.140625" style="2" customWidth="1"/>
    <col min="14085" max="14085" width="16" style="2" customWidth="1"/>
    <col min="14086" max="14086" width="16.140625" style="2" customWidth="1"/>
    <col min="14087" max="14087" width="17.140625" style="2" customWidth="1"/>
    <col min="14088" max="14088" width="15.28515625" style="2" customWidth="1"/>
    <col min="14089" max="14089" width="12.7109375" style="2" customWidth="1"/>
    <col min="14090" max="14090" width="15.140625" style="2" customWidth="1"/>
    <col min="14091" max="14091" width="15.28515625" style="2" customWidth="1"/>
    <col min="14092" max="14092" width="23.85546875" style="2" customWidth="1"/>
    <col min="14093" max="14093" width="25.5703125" style="2" customWidth="1"/>
    <col min="14094" max="14094" width="20.5703125" style="2" customWidth="1"/>
    <col min="14095" max="14095" width="16.7109375" style="2" customWidth="1"/>
    <col min="14096" max="14096" width="16" style="2"/>
    <col min="14097" max="14097" width="12.140625" style="2" customWidth="1"/>
    <col min="14098" max="14098" width="4.42578125" style="2" customWidth="1"/>
    <col min="14099" max="14099" width="34.85546875" style="2" customWidth="1"/>
    <col min="14100" max="14336" width="16" style="2"/>
    <col min="14337" max="14337" width="21.42578125" style="2" customWidth="1"/>
    <col min="14338" max="14338" width="23.5703125" style="2" customWidth="1"/>
    <col min="14339" max="14339" width="15" style="2" customWidth="1"/>
    <col min="14340" max="14340" width="15.140625" style="2" customWidth="1"/>
    <col min="14341" max="14341" width="16" style="2" customWidth="1"/>
    <col min="14342" max="14342" width="16.140625" style="2" customWidth="1"/>
    <col min="14343" max="14343" width="17.140625" style="2" customWidth="1"/>
    <col min="14344" max="14344" width="15.28515625" style="2" customWidth="1"/>
    <col min="14345" max="14345" width="12.7109375" style="2" customWidth="1"/>
    <col min="14346" max="14346" width="15.140625" style="2" customWidth="1"/>
    <col min="14347" max="14347" width="15.28515625" style="2" customWidth="1"/>
    <col min="14348" max="14348" width="23.85546875" style="2" customWidth="1"/>
    <col min="14349" max="14349" width="25.5703125" style="2" customWidth="1"/>
    <col min="14350" max="14350" width="20.5703125" style="2" customWidth="1"/>
    <col min="14351" max="14351" width="16.7109375" style="2" customWidth="1"/>
    <col min="14352" max="14352" width="16" style="2"/>
    <col min="14353" max="14353" width="12.140625" style="2" customWidth="1"/>
    <col min="14354" max="14354" width="4.42578125" style="2" customWidth="1"/>
    <col min="14355" max="14355" width="34.85546875" style="2" customWidth="1"/>
    <col min="14356" max="14592" width="16" style="2"/>
    <col min="14593" max="14593" width="21.42578125" style="2" customWidth="1"/>
    <col min="14594" max="14594" width="23.5703125" style="2" customWidth="1"/>
    <col min="14595" max="14595" width="15" style="2" customWidth="1"/>
    <col min="14596" max="14596" width="15.140625" style="2" customWidth="1"/>
    <col min="14597" max="14597" width="16" style="2" customWidth="1"/>
    <col min="14598" max="14598" width="16.140625" style="2" customWidth="1"/>
    <col min="14599" max="14599" width="17.140625" style="2" customWidth="1"/>
    <col min="14600" max="14600" width="15.28515625" style="2" customWidth="1"/>
    <col min="14601" max="14601" width="12.7109375" style="2" customWidth="1"/>
    <col min="14602" max="14602" width="15.140625" style="2" customWidth="1"/>
    <col min="14603" max="14603" width="15.28515625" style="2" customWidth="1"/>
    <col min="14604" max="14604" width="23.85546875" style="2" customWidth="1"/>
    <col min="14605" max="14605" width="25.5703125" style="2" customWidth="1"/>
    <col min="14606" max="14606" width="20.5703125" style="2" customWidth="1"/>
    <col min="14607" max="14607" width="16.7109375" style="2" customWidth="1"/>
    <col min="14608" max="14608" width="16" style="2"/>
    <col min="14609" max="14609" width="12.140625" style="2" customWidth="1"/>
    <col min="14610" max="14610" width="4.42578125" style="2" customWidth="1"/>
    <col min="14611" max="14611" width="34.85546875" style="2" customWidth="1"/>
    <col min="14612" max="14848" width="16" style="2"/>
    <col min="14849" max="14849" width="21.42578125" style="2" customWidth="1"/>
    <col min="14850" max="14850" width="23.5703125" style="2" customWidth="1"/>
    <col min="14851" max="14851" width="15" style="2" customWidth="1"/>
    <col min="14852" max="14852" width="15.140625" style="2" customWidth="1"/>
    <col min="14853" max="14853" width="16" style="2" customWidth="1"/>
    <col min="14854" max="14854" width="16.140625" style="2" customWidth="1"/>
    <col min="14855" max="14855" width="17.140625" style="2" customWidth="1"/>
    <col min="14856" max="14856" width="15.28515625" style="2" customWidth="1"/>
    <col min="14857" max="14857" width="12.7109375" style="2" customWidth="1"/>
    <col min="14858" max="14858" width="15.140625" style="2" customWidth="1"/>
    <col min="14859" max="14859" width="15.28515625" style="2" customWidth="1"/>
    <col min="14860" max="14860" width="23.85546875" style="2" customWidth="1"/>
    <col min="14861" max="14861" width="25.5703125" style="2" customWidth="1"/>
    <col min="14862" max="14862" width="20.5703125" style="2" customWidth="1"/>
    <col min="14863" max="14863" width="16.7109375" style="2" customWidth="1"/>
    <col min="14864" max="14864" width="16" style="2"/>
    <col min="14865" max="14865" width="12.140625" style="2" customWidth="1"/>
    <col min="14866" max="14866" width="4.42578125" style="2" customWidth="1"/>
    <col min="14867" max="14867" width="34.85546875" style="2" customWidth="1"/>
    <col min="14868" max="15104" width="16" style="2"/>
    <col min="15105" max="15105" width="21.42578125" style="2" customWidth="1"/>
    <col min="15106" max="15106" width="23.5703125" style="2" customWidth="1"/>
    <col min="15107" max="15107" width="15" style="2" customWidth="1"/>
    <col min="15108" max="15108" width="15.140625" style="2" customWidth="1"/>
    <col min="15109" max="15109" width="16" style="2" customWidth="1"/>
    <col min="15110" max="15110" width="16.140625" style="2" customWidth="1"/>
    <col min="15111" max="15111" width="17.140625" style="2" customWidth="1"/>
    <col min="15112" max="15112" width="15.28515625" style="2" customWidth="1"/>
    <col min="15113" max="15113" width="12.7109375" style="2" customWidth="1"/>
    <col min="15114" max="15114" width="15.140625" style="2" customWidth="1"/>
    <col min="15115" max="15115" width="15.28515625" style="2" customWidth="1"/>
    <col min="15116" max="15116" width="23.85546875" style="2" customWidth="1"/>
    <col min="15117" max="15117" width="25.5703125" style="2" customWidth="1"/>
    <col min="15118" max="15118" width="20.5703125" style="2" customWidth="1"/>
    <col min="15119" max="15119" width="16.7109375" style="2" customWidth="1"/>
    <col min="15120" max="15120" width="16" style="2"/>
    <col min="15121" max="15121" width="12.140625" style="2" customWidth="1"/>
    <col min="15122" max="15122" width="4.42578125" style="2" customWidth="1"/>
    <col min="15123" max="15123" width="34.85546875" style="2" customWidth="1"/>
    <col min="15124" max="15360" width="16" style="2"/>
    <col min="15361" max="15361" width="21.42578125" style="2" customWidth="1"/>
    <col min="15362" max="15362" width="23.5703125" style="2" customWidth="1"/>
    <col min="15363" max="15363" width="15" style="2" customWidth="1"/>
    <col min="15364" max="15364" width="15.140625" style="2" customWidth="1"/>
    <col min="15365" max="15365" width="16" style="2" customWidth="1"/>
    <col min="15366" max="15366" width="16.140625" style="2" customWidth="1"/>
    <col min="15367" max="15367" width="17.140625" style="2" customWidth="1"/>
    <col min="15368" max="15368" width="15.28515625" style="2" customWidth="1"/>
    <col min="15369" max="15369" width="12.7109375" style="2" customWidth="1"/>
    <col min="15370" max="15370" width="15.140625" style="2" customWidth="1"/>
    <col min="15371" max="15371" width="15.28515625" style="2" customWidth="1"/>
    <col min="15372" max="15372" width="23.85546875" style="2" customWidth="1"/>
    <col min="15373" max="15373" width="25.5703125" style="2" customWidth="1"/>
    <col min="15374" max="15374" width="20.5703125" style="2" customWidth="1"/>
    <col min="15375" max="15375" width="16.7109375" style="2" customWidth="1"/>
    <col min="15376" max="15376" width="16" style="2"/>
    <col min="15377" max="15377" width="12.140625" style="2" customWidth="1"/>
    <col min="15378" max="15378" width="4.42578125" style="2" customWidth="1"/>
    <col min="15379" max="15379" width="34.85546875" style="2" customWidth="1"/>
    <col min="15380" max="15616" width="16" style="2"/>
    <col min="15617" max="15617" width="21.42578125" style="2" customWidth="1"/>
    <col min="15618" max="15618" width="23.5703125" style="2" customWidth="1"/>
    <col min="15619" max="15619" width="15" style="2" customWidth="1"/>
    <col min="15620" max="15620" width="15.140625" style="2" customWidth="1"/>
    <col min="15621" max="15621" width="16" style="2" customWidth="1"/>
    <col min="15622" max="15622" width="16.140625" style="2" customWidth="1"/>
    <col min="15623" max="15623" width="17.140625" style="2" customWidth="1"/>
    <col min="15624" max="15624" width="15.28515625" style="2" customWidth="1"/>
    <col min="15625" max="15625" width="12.7109375" style="2" customWidth="1"/>
    <col min="15626" max="15626" width="15.140625" style="2" customWidth="1"/>
    <col min="15627" max="15627" width="15.28515625" style="2" customWidth="1"/>
    <col min="15628" max="15628" width="23.85546875" style="2" customWidth="1"/>
    <col min="15629" max="15629" width="25.5703125" style="2" customWidth="1"/>
    <col min="15630" max="15630" width="20.5703125" style="2" customWidth="1"/>
    <col min="15631" max="15631" width="16.7109375" style="2" customWidth="1"/>
    <col min="15632" max="15632" width="16" style="2"/>
    <col min="15633" max="15633" width="12.140625" style="2" customWidth="1"/>
    <col min="15634" max="15634" width="4.42578125" style="2" customWidth="1"/>
    <col min="15635" max="15635" width="34.85546875" style="2" customWidth="1"/>
    <col min="15636" max="15872" width="16" style="2"/>
    <col min="15873" max="15873" width="21.42578125" style="2" customWidth="1"/>
    <col min="15874" max="15874" width="23.5703125" style="2" customWidth="1"/>
    <col min="15875" max="15875" width="15" style="2" customWidth="1"/>
    <col min="15876" max="15876" width="15.140625" style="2" customWidth="1"/>
    <col min="15877" max="15877" width="16" style="2" customWidth="1"/>
    <col min="15878" max="15878" width="16.140625" style="2" customWidth="1"/>
    <col min="15879" max="15879" width="17.140625" style="2" customWidth="1"/>
    <col min="15880" max="15880" width="15.28515625" style="2" customWidth="1"/>
    <col min="15881" max="15881" width="12.7109375" style="2" customWidth="1"/>
    <col min="15882" max="15882" width="15.140625" style="2" customWidth="1"/>
    <col min="15883" max="15883" width="15.28515625" style="2" customWidth="1"/>
    <col min="15884" max="15884" width="23.85546875" style="2" customWidth="1"/>
    <col min="15885" max="15885" width="25.5703125" style="2" customWidth="1"/>
    <col min="15886" max="15886" width="20.5703125" style="2" customWidth="1"/>
    <col min="15887" max="15887" width="16.7109375" style="2" customWidth="1"/>
    <col min="15888" max="15888" width="16" style="2"/>
    <col min="15889" max="15889" width="12.140625" style="2" customWidth="1"/>
    <col min="15890" max="15890" width="4.42578125" style="2" customWidth="1"/>
    <col min="15891" max="15891" width="34.85546875" style="2" customWidth="1"/>
    <col min="15892" max="16128" width="16" style="2"/>
    <col min="16129" max="16129" width="21.42578125" style="2" customWidth="1"/>
    <col min="16130" max="16130" width="23.5703125" style="2" customWidth="1"/>
    <col min="16131" max="16131" width="15" style="2" customWidth="1"/>
    <col min="16132" max="16132" width="15.140625" style="2" customWidth="1"/>
    <col min="16133" max="16133" width="16" style="2" customWidth="1"/>
    <col min="16134" max="16134" width="16.140625" style="2" customWidth="1"/>
    <col min="16135" max="16135" width="17.140625" style="2" customWidth="1"/>
    <col min="16136" max="16136" width="15.28515625" style="2" customWidth="1"/>
    <col min="16137" max="16137" width="12.7109375" style="2" customWidth="1"/>
    <col min="16138" max="16138" width="15.140625" style="2" customWidth="1"/>
    <col min="16139" max="16139" width="15.28515625" style="2" customWidth="1"/>
    <col min="16140" max="16140" width="23.85546875" style="2" customWidth="1"/>
    <col min="16141" max="16141" width="25.5703125" style="2" customWidth="1"/>
    <col min="16142" max="16142" width="20.5703125" style="2" customWidth="1"/>
    <col min="16143" max="16143" width="16.7109375" style="2" customWidth="1"/>
    <col min="16144" max="16144" width="16" style="2"/>
    <col min="16145" max="16145" width="12.140625" style="2" customWidth="1"/>
    <col min="16146" max="16146" width="4.42578125" style="2" customWidth="1"/>
    <col min="16147" max="16147" width="34.85546875" style="2" customWidth="1"/>
    <col min="16148" max="16384" width="16" style="2"/>
  </cols>
  <sheetData>
    <row r="1" spans="1:28" ht="15">
      <c r="S1" s="39"/>
      <c r="T1" s="1"/>
      <c r="U1" s="1"/>
      <c r="V1" s="1"/>
      <c r="W1" s="1"/>
      <c r="X1" s="1"/>
      <c r="Y1" s="1"/>
      <c r="Z1" s="1"/>
      <c r="AA1" s="1"/>
      <c r="AB1" s="1"/>
    </row>
    <row r="2" spans="1:28" ht="20.25" customHeight="1">
      <c r="A2" s="263" t="s">
        <v>238</v>
      </c>
      <c r="B2" s="264" t="str">
        <f>A4</f>
        <v>ACV totales</v>
      </c>
      <c r="C2" s="265"/>
      <c r="D2" s="266"/>
      <c r="E2" s="266"/>
      <c r="F2" s="266"/>
      <c r="G2" s="266"/>
      <c r="O2" s="267"/>
      <c r="P2" s="268"/>
      <c r="Q2" s="10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5.5">
      <c r="A3" s="71" t="s">
        <v>155</v>
      </c>
      <c r="B3" s="412" t="s">
        <v>156</v>
      </c>
      <c r="C3" s="413"/>
      <c r="D3" s="414"/>
      <c r="E3" s="412" t="s">
        <v>157</v>
      </c>
      <c r="F3" s="413"/>
      <c r="G3" s="414"/>
      <c r="H3" s="269" t="s">
        <v>128</v>
      </c>
      <c r="I3" s="406" t="s">
        <v>129</v>
      </c>
      <c r="J3" s="407"/>
      <c r="K3" s="408"/>
      <c r="L3" s="406" t="s">
        <v>130</v>
      </c>
      <c r="M3" s="408"/>
      <c r="N3" s="270" t="s">
        <v>131</v>
      </c>
      <c r="O3" s="268"/>
      <c r="T3" s="1"/>
      <c r="U3" s="1"/>
      <c r="W3" s="1"/>
      <c r="X3" s="1"/>
      <c r="Y3" s="1"/>
      <c r="Z3" s="1"/>
      <c r="AA3" s="1"/>
      <c r="AB3" s="1"/>
    </row>
    <row r="4" spans="1:28" ht="25.5">
      <c r="A4" s="72" t="s">
        <v>28</v>
      </c>
      <c r="B4" s="73" t="s">
        <v>158</v>
      </c>
      <c r="C4" s="73" t="s">
        <v>159</v>
      </c>
      <c r="D4" s="73" t="s">
        <v>1</v>
      </c>
      <c r="E4" s="73" t="s">
        <v>158</v>
      </c>
      <c r="F4" s="73" t="s">
        <v>159</v>
      </c>
      <c r="G4" s="73" t="s">
        <v>1</v>
      </c>
      <c r="H4" s="271" t="s">
        <v>133</v>
      </c>
      <c r="I4" s="272" t="s">
        <v>239</v>
      </c>
      <c r="J4" s="273" t="s">
        <v>240</v>
      </c>
      <c r="K4" s="272" t="s">
        <v>1</v>
      </c>
      <c r="L4" s="274" t="s">
        <v>239</v>
      </c>
      <c r="M4" s="275" t="s">
        <v>241</v>
      </c>
      <c r="N4" s="276" t="s">
        <v>133</v>
      </c>
      <c r="O4" s="268"/>
      <c r="P4" s="2" t="s">
        <v>134</v>
      </c>
      <c r="Q4" s="2" t="s">
        <v>134</v>
      </c>
      <c r="T4" s="1"/>
      <c r="U4" s="1"/>
      <c r="W4" s="1"/>
      <c r="X4" s="1"/>
      <c r="Y4" s="1"/>
      <c r="Z4" s="1"/>
      <c r="AA4" s="1"/>
      <c r="AB4" s="1"/>
    </row>
    <row r="5" spans="1:28">
      <c r="A5" s="106" t="s">
        <v>3</v>
      </c>
      <c r="B5" s="74">
        <v>76</v>
      </c>
      <c r="C5" s="75">
        <v>5052</v>
      </c>
      <c r="D5" s="76">
        <v>5128</v>
      </c>
      <c r="E5" s="74">
        <v>72</v>
      </c>
      <c r="F5" s="75">
        <v>5051</v>
      </c>
      <c r="G5" s="76">
        <v>5123</v>
      </c>
      <c r="H5" s="278">
        <v>3.8</v>
      </c>
      <c r="I5" s="279">
        <f t="shared" ref="I5:I9" si="0">D5*H5</f>
        <v>19486.399999999998</v>
      </c>
      <c r="J5" s="279">
        <f t="shared" ref="J5:J9" si="1">G5*H5</f>
        <v>19467.399999999998</v>
      </c>
      <c r="K5" s="279">
        <f>I5+J5</f>
        <v>38953.799999999996</v>
      </c>
      <c r="L5" s="280">
        <f t="shared" ref="L5:L10" si="2">B5/I5</f>
        <v>3.9001560062402502E-3</v>
      </c>
      <c r="M5" s="280">
        <f t="shared" ref="M5:M10" si="3">E5/J5</f>
        <v>3.6984908102776952E-3</v>
      </c>
      <c r="N5" s="281">
        <v>62</v>
      </c>
      <c r="O5" s="282">
        <f>N5*(D5+G5)</f>
        <v>635562</v>
      </c>
      <c r="P5" s="283" t="str">
        <f t="shared" ref="P5:P10" si="4">CONCATENATE(B5," ",$P$4," ",D5)</f>
        <v>76 / 5128</v>
      </c>
      <c r="Q5" s="283" t="str">
        <f t="shared" ref="Q5:Q10" si="5">CONCATENATE(E5," ",$Q$4," ",G5)</f>
        <v>72 / 5123</v>
      </c>
      <c r="T5" s="1"/>
      <c r="U5" s="1"/>
      <c r="W5" s="1"/>
      <c r="X5" s="1"/>
      <c r="Y5" s="1"/>
      <c r="Z5" s="1"/>
      <c r="AA5" s="1"/>
      <c r="AB5" s="1"/>
    </row>
    <row r="6" spans="1:28">
      <c r="A6" s="106" t="s">
        <v>4</v>
      </c>
      <c r="B6" s="74">
        <v>238</v>
      </c>
      <c r="C6" s="75">
        <v>5333</v>
      </c>
      <c r="D6" s="76">
        <v>5571</v>
      </c>
      <c r="E6" s="74">
        <v>246</v>
      </c>
      <c r="F6" s="75">
        <v>5323</v>
      </c>
      <c r="G6" s="76">
        <v>5569</v>
      </c>
      <c r="H6" s="278">
        <v>5</v>
      </c>
      <c r="I6" s="279">
        <f t="shared" si="0"/>
        <v>27855</v>
      </c>
      <c r="J6" s="279">
        <f t="shared" si="1"/>
        <v>27845</v>
      </c>
      <c r="K6" s="279">
        <f t="shared" ref="K6:K9" si="6">I6+J6</f>
        <v>55700</v>
      </c>
      <c r="L6" s="280">
        <f t="shared" si="2"/>
        <v>8.5442469933584633E-3</v>
      </c>
      <c r="M6" s="280">
        <f t="shared" si="3"/>
        <v>8.8346202190698504E-3</v>
      </c>
      <c r="N6" s="281">
        <v>66</v>
      </c>
      <c r="O6" s="282">
        <f t="shared" ref="O6:O9" si="7">N6*(D6+G6)</f>
        <v>735240</v>
      </c>
      <c r="P6" s="283" t="str">
        <f t="shared" si="4"/>
        <v>238 / 5571</v>
      </c>
      <c r="Q6" s="283" t="str">
        <f t="shared" si="5"/>
        <v>246 / 5569</v>
      </c>
      <c r="T6" s="1"/>
      <c r="U6" s="1"/>
      <c r="W6" s="1"/>
      <c r="X6" s="1"/>
      <c r="Y6" s="1"/>
      <c r="Z6" s="1"/>
      <c r="AA6" s="1"/>
      <c r="AB6" s="1"/>
    </row>
    <row r="7" spans="1:28">
      <c r="A7" s="106" t="s">
        <v>259</v>
      </c>
      <c r="B7" s="74">
        <v>86</v>
      </c>
      <c r="C7" s="75">
        <v>2519</v>
      </c>
      <c r="D7" s="76">
        <v>2605</v>
      </c>
      <c r="E7" s="74">
        <v>107</v>
      </c>
      <c r="F7" s="75">
        <v>2526</v>
      </c>
      <c r="G7" s="76">
        <v>2633</v>
      </c>
      <c r="H7" s="278">
        <v>2.8</v>
      </c>
      <c r="I7" s="279">
        <f t="shared" si="0"/>
        <v>7293.9999999999991</v>
      </c>
      <c r="J7" s="279">
        <f t="shared" si="1"/>
        <v>7372.4</v>
      </c>
      <c r="K7" s="279">
        <f t="shared" si="6"/>
        <v>14666.399999999998</v>
      </c>
      <c r="L7" s="280">
        <f t="shared" si="2"/>
        <v>1.1790512750205651E-2</v>
      </c>
      <c r="M7" s="280">
        <f t="shared" si="3"/>
        <v>1.4513591232163205E-2</v>
      </c>
      <c r="N7" s="281">
        <v>62</v>
      </c>
      <c r="O7" s="282">
        <f t="shared" si="7"/>
        <v>324756</v>
      </c>
      <c r="P7" s="283" t="str">
        <f t="shared" si="4"/>
        <v>86 / 2605</v>
      </c>
      <c r="Q7" s="283" t="str">
        <f t="shared" si="5"/>
        <v>107 / 2633</v>
      </c>
      <c r="T7" s="1"/>
      <c r="U7" s="1"/>
      <c r="W7" s="1"/>
      <c r="X7" s="1"/>
      <c r="Y7" s="1"/>
      <c r="Z7" s="1"/>
      <c r="AA7" s="1"/>
      <c r="AB7" s="1"/>
    </row>
    <row r="8" spans="1:28">
      <c r="A8" s="107" t="s">
        <v>5</v>
      </c>
      <c r="B8" s="74">
        <v>160</v>
      </c>
      <c r="C8" s="75">
        <v>2911</v>
      </c>
      <c r="D8" s="76">
        <v>3071</v>
      </c>
      <c r="E8" s="74">
        <v>78</v>
      </c>
      <c r="F8" s="75">
        <v>1471</v>
      </c>
      <c r="G8" s="76">
        <v>1549</v>
      </c>
      <c r="H8" s="278">
        <v>10</v>
      </c>
      <c r="I8" s="279">
        <f t="shared" si="0"/>
        <v>30710</v>
      </c>
      <c r="J8" s="279">
        <f t="shared" si="1"/>
        <v>15490</v>
      </c>
      <c r="K8" s="279">
        <f t="shared" si="6"/>
        <v>46200</v>
      </c>
      <c r="L8" s="280">
        <f t="shared" si="2"/>
        <v>5.2100293064148489E-3</v>
      </c>
      <c r="M8" s="280">
        <f t="shared" si="3"/>
        <v>5.0355067785668173E-3</v>
      </c>
      <c r="N8" s="281">
        <v>53</v>
      </c>
      <c r="O8" s="282">
        <f t="shared" si="7"/>
        <v>244860</v>
      </c>
      <c r="P8" s="283" t="str">
        <f t="shared" si="4"/>
        <v>160 / 3071</v>
      </c>
      <c r="Q8" s="283" t="str">
        <f t="shared" si="5"/>
        <v>78 / 1549</v>
      </c>
      <c r="T8" s="1"/>
      <c r="U8" s="1"/>
      <c r="W8" s="1"/>
      <c r="X8" s="1"/>
      <c r="Y8" s="1"/>
      <c r="Z8" s="1"/>
      <c r="AA8" s="1"/>
      <c r="AB8" s="1"/>
    </row>
    <row r="9" spans="1:28">
      <c r="A9" s="107" t="s">
        <v>6</v>
      </c>
      <c r="B9" s="74">
        <v>28</v>
      </c>
      <c r="C9" s="75">
        <v>892</v>
      </c>
      <c r="D9" s="76">
        <v>892</v>
      </c>
      <c r="E9" s="74">
        <v>36</v>
      </c>
      <c r="F9" s="75">
        <v>863</v>
      </c>
      <c r="G9" s="76">
        <v>899</v>
      </c>
      <c r="H9" s="278">
        <v>5.6</v>
      </c>
      <c r="I9" s="279">
        <f t="shared" si="0"/>
        <v>4995.2</v>
      </c>
      <c r="J9" s="279">
        <f t="shared" si="1"/>
        <v>5034.3999999999996</v>
      </c>
      <c r="K9" s="279">
        <f t="shared" si="6"/>
        <v>10029.599999999999</v>
      </c>
      <c r="L9" s="280">
        <f t="shared" si="2"/>
        <v>5.6053811659192831E-3</v>
      </c>
      <c r="M9" s="280">
        <f t="shared" si="3"/>
        <v>7.1508024789448598E-3</v>
      </c>
      <c r="N9" s="281">
        <v>60</v>
      </c>
      <c r="O9" s="282">
        <f t="shared" si="7"/>
        <v>107460</v>
      </c>
      <c r="P9" s="283" t="str">
        <f t="shared" si="4"/>
        <v>28 / 892</v>
      </c>
      <c r="Q9" s="283" t="str">
        <f t="shared" si="5"/>
        <v>36 / 899</v>
      </c>
      <c r="T9" s="1"/>
      <c r="U9" s="1"/>
      <c r="W9" s="1"/>
      <c r="X9" s="1"/>
      <c r="Y9" s="1"/>
      <c r="Z9" s="1"/>
      <c r="AA9" s="1"/>
      <c r="AB9" s="1"/>
    </row>
    <row r="10" spans="1:28">
      <c r="A10" s="77">
        <f>COUNT(B5:B9)</f>
        <v>5</v>
      </c>
      <c r="B10" s="359">
        <f t="shared" ref="B10:G10" si="8">SUM(B5:B9)</f>
        <v>588</v>
      </c>
      <c r="C10" s="359">
        <f t="shared" si="8"/>
        <v>16707</v>
      </c>
      <c r="D10" s="359">
        <f t="shared" si="8"/>
        <v>17267</v>
      </c>
      <c r="E10" s="359">
        <f t="shared" si="8"/>
        <v>539</v>
      </c>
      <c r="F10" s="359">
        <f t="shared" si="8"/>
        <v>15234</v>
      </c>
      <c r="G10" s="359">
        <f t="shared" si="8"/>
        <v>15773</v>
      </c>
      <c r="H10" s="284">
        <f>K10/(D10+G10)</f>
        <v>5.0105871670702173</v>
      </c>
      <c r="I10" s="285">
        <f>SUM(I5:I9)</f>
        <v>90340.599999999991</v>
      </c>
      <c r="J10" s="285">
        <f>SUM(J5:J9)</f>
        <v>75209.199999999983</v>
      </c>
      <c r="K10" s="285">
        <f>SUM(K5:K9)</f>
        <v>165549.79999999999</v>
      </c>
      <c r="L10" s="286">
        <f t="shared" si="2"/>
        <v>6.5087015140479479E-3</v>
      </c>
      <c r="M10" s="286">
        <f t="shared" si="3"/>
        <v>7.1666764172468277E-3</v>
      </c>
      <c r="N10" s="287">
        <f>O10/(D10+G10)</f>
        <v>61.981779661016951</v>
      </c>
      <c r="O10" s="288">
        <f>SUM(O5:O9)</f>
        <v>2047878</v>
      </c>
      <c r="P10" s="289" t="str">
        <f t="shared" si="4"/>
        <v>588 / 17267</v>
      </c>
      <c r="Q10" s="289" t="str">
        <f t="shared" si="5"/>
        <v>539 / 15773</v>
      </c>
      <c r="T10" s="1"/>
      <c r="U10" s="1"/>
      <c r="W10" s="1"/>
      <c r="X10" s="1"/>
      <c r="Y10" s="1"/>
      <c r="Z10" s="1"/>
      <c r="AA10" s="1"/>
      <c r="AB10" s="1"/>
    </row>
    <row r="11" spans="1:28" ht="15.75" thickBot="1">
      <c r="B11" s="2"/>
      <c r="C11" s="2"/>
      <c r="E11" s="4"/>
      <c r="F11" s="3"/>
      <c r="S11" s="39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thickBot="1">
      <c r="A12" s="1"/>
      <c r="B12" s="83" t="s">
        <v>117</v>
      </c>
      <c r="C12" s="290">
        <v>3.5909256886801716E-2</v>
      </c>
      <c r="D12" s="409" t="s">
        <v>118</v>
      </c>
      <c r="E12" s="410"/>
      <c r="F12" s="411"/>
      <c r="S12" s="39"/>
      <c r="T12" s="1"/>
      <c r="U12" s="1"/>
      <c r="V12" s="1"/>
      <c r="W12" s="1"/>
      <c r="X12" s="1"/>
      <c r="Y12" s="1"/>
      <c r="Z12" s="1"/>
      <c r="AA12" s="1"/>
      <c r="AB12" s="1"/>
    </row>
    <row r="13" spans="1:28" ht="26.25" thickBot="1">
      <c r="A13" s="291">
        <f>I40</f>
        <v>7.1666764172468277E-3</v>
      </c>
      <c r="B13" s="292" t="s">
        <v>160</v>
      </c>
      <c r="C13" s="23"/>
      <c r="D13" s="21" t="s">
        <v>119</v>
      </c>
      <c r="E13" s="22" t="s">
        <v>161</v>
      </c>
      <c r="F13" s="21" t="s">
        <v>162</v>
      </c>
      <c r="S13" s="39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thickBot="1">
      <c r="A14" s="293">
        <f>E40</f>
        <v>5.0105871670702173</v>
      </c>
      <c r="B14" s="294" t="s">
        <v>163</v>
      </c>
      <c r="C14" s="23"/>
      <c r="D14" s="295">
        <v>0.95</v>
      </c>
      <c r="E14" s="296">
        <v>0.85</v>
      </c>
      <c r="F14" s="297">
        <v>1.07</v>
      </c>
      <c r="G14" s="23" t="s">
        <v>44</v>
      </c>
      <c r="S14" s="39"/>
      <c r="T14" s="1"/>
      <c r="U14" s="1"/>
      <c r="V14" s="1"/>
      <c r="W14" s="1"/>
      <c r="X14" s="1"/>
      <c r="Y14" s="1"/>
      <c r="Z14" s="1"/>
      <c r="AA14" s="1"/>
      <c r="AB14" s="1"/>
    </row>
    <row r="15" spans="1:28" ht="15" hidden="1">
      <c r="A15" s="85"/>
      <c r="B15" s="84"/>
      <c r="C15" s="1"/>
      <c r="D15" s="1"/>
      <c r="E15" s="1"/>
      <c r="F15" s="1"/>
      <c r="G15" s="1"/>
      <c r="S15" s="39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hidden="1" thickBot="1">
      <c r="A16" s="85"/>
      <c r="B16" s="86"/>
      <c r="C16" s="24"/>
      <c r="D16" s="87">
        <f>C12*D14</f>
        <v>3.4113794042461627E-2</v>
      </c>
      <c r="E16" s="88">
        <f>C12*E14</f>
        <v>3.0522868353781457E-2</v>
      </c>
      <c r="F16" s="25">
        <f>C12*F14</f>
        <v>3.8422904868877839E-2</v>
      </c>
      <c r="G16" s="1"/>
      <c r="S16" s="39"/>
      <c r="T16" s="1"/>
      <c r="U16" s="1"/>
      <c r="V16" s="1"/>
      <c r="W16" s="1"/>
      <c r="X16" s="1"/>
      <c r="Y16" s="1"/>
      <c r="Z16" s="1"/>
      <c r="AA16" s="1"/>
      <c r="AB16" s="1"/>
    </row>
    <row r="17" spans="1:28" ht="15" hidden="1">
      <c r="A17" s="85"/>
      <c r="B17" s="84"/>
      <c r="C17" s="1"/>
      <c r="D17" s="1"/>
      <c r="E17" s="1"/>
      <c r="F17" s="1"/>
      <c r="G17" s="1"/>
      <c r="S17" s="39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hidden="1" thickBot="1">
      <c r="A18" s="85"/>
      <c r="B18" s="89"/>
      <c r="C18" s="90" t="s">
        <v>9</v>
      </c>
      <c r="D18" s="91">
        <f>C12-D16</f>
        <v>1.7954628443400886E-3</v>
      </c>
      <c r="E18" s="92">
        <f>C12-F16</f>
        <v>-2.5136479820761226E-3</v>
      </c>
      <c r="F18" s="93">
        <f>C12-E16</f>
        <v>5.3863885330202588E-3</v>
      </c>
      <c r="G18" s="1"/>
      <c r="S18" s="39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hidden="1" thickBot="1">
      <c r="A19" s="85"/>
      <c r="B19" s="94"/>
      <c r="C19" s="95" t="s">
        <v>10</v>
      </c>
      <c r="D19" s="96">
        <f>1/D18</f>
        <v>556.9594509584764</v>
      </c>
      <c r="E19" s="97">
        <f>1/F18</f>
        <v>185.65315031949234</v>
      </c>
      <c r="F19" s="98">
        <f>1/E18</f>
        <v>-397.82817925605474</v>
      </c>
      <c r="G19" s="1"/>
      <c r="S19" s="39"/>
      <c r="T19" s="1"/>
      <c r="U19" s="1"/>
      <c r="V19" s="1"/>
      <c r="W19" s="1"/>
      <c r="X19" s="1"/>
      <c r="Y19" s="1"/>
      <c r="Z19" s="1"/>
      <c r="AA19" s="1"/>
      <c r="AB19" s="1"/>
    </row>
    <row r="20" spans="1:28" ht="15" hidden="1">
      <c r="A20" s="85"/>
      <c r="B20" s="84"/>
      <c r="C20" s="23"/>
      <c r="D20" s="23"/>
      <c r="E20" s="23"/>
      <c r="F20" s="23"/>
      <c r="G20" s="1"/>
      <c r="S20" s="39"/>
      <c r="T20" s="1"/>
      <c r="U20" s="1"/>
      <c r="V20" s="1"/>
      <c r="W20" s="1"/>
      <c r="X20" s="1"/>
      <c r="Y20" s="1"/>
      <c r="Z20" s="1"/>
      <c r="AA20" s="1"/>
      <c r="AB20" s="1"/>
    </row>
    <row r="21" spans="1:28" ht="15" hidden="1">
      <c r="A21" s="85"/>
      <c r="B21" s="99" t="s">
        <v>120</v>
      </c>
      <c r="C21" s="27"/>
      <c r="D21" s="27"/>
      <c r="E21" s="28">
        <f>ROUND(D14,2)</f>
        <v>0.95</v>
      </c>
      <c r="F21" s="29">
        <f>ROUND(D18,4)</f>
        <v>1.8E-3</v>
      </c>
      <c r="G21" s="30">
        <f>ROUND(D19,0)</f>
        <v>557</v>
      </c>
      <c r="S21" s="39"/>
      <c r="T21" s="1"/>
      <c r="U21" s="1"/>
      <c r="V21" s="1"/>
      <c r="W21" s="1"/>
      <c r="X21" s="1"/>
      <c r="Y21" s="1"/>
      <c r="Z21" s="1"/>
      <c r="AA21" s="1"/>
      <c r="AB21" s="1"/>
    </row>
    <row r="22" spans="1:28" ht="15" hidden="1">
      <c r="A22" s="85"/>
      <c r="B22" s="100" t="s">
        <v>121</v>
      </c>
      <c r="C22" s="101">
        <f>ROUND(D16,4)</f>
        <v>3.4099999999999998E-2</v>
      </c>
      <c r="D22" s="31">
        <f>ROUND(C12,4)</f>
        <v>3.5900000000000001E-2</v>
      </c>
      <c r="E22" s="32">
        <f>ROUND(E14,2)</f>
        <v>0.85</v>
      </c>
      <c r="F22" s="33">
        <f>ROUND(E18,4)</f>
        <v>-2.5000000000000001E-3</v>
      </c>
      <c r="G22" s="34">
        <f>ROUND(E19,0)</f>
        <v>186</v>
      </c>
      <c r="S22" s="39"/>
      <c r="T22" s="1"/>
      <c r="U22" s="1"/>
      <c r="V22" s="1"/>
      <c r="W22" s="1"/>
      <c r="X22" s="1"/>
      <c r="Y22" s="1"/>
      <c r="Z22" s="1"/>
      <c r="AA22" s="1"/>
      <c r="AB22" s="1"/>
    </row>
    <row r="23" spans="1:28" ht="15" hidden="1">
      <c r="A23" s="85"/>
      <c r="B23" s="100" t="s">
        <v>122</v>
      </c>
      <c r="C23" s="35"/>
      <c r="D23" s="35"/>
      <c r="E23" s="32">
        <f>ROUND(F14,2)</f>
        <v>1.07</v>
      </c>
      <c r="F23" s="33">
        <f>ROUND(F18,4)</f>
        <v>5.4000000000000003E-3</v>
      </c>
      <c r="G23" s="34">
        <f>ROUND(F19,0)</f>
        <v>-398</v>
      </c>
      <c r="S23" s="39"/>
      <c r="T23" s="1"/>
      <c r="U23" s="1"/>
      <c r="V23" s="1"/>
      <c r="W23" s="1"/>
      <c r="X23" s="1"/>
      <c r="Y23" s="1"/>
      <c r="Z23" s="1"/>
      <c r="AA23" s="1"/>
      <c r="AB23" s="1"/>
    </row>
    <row r="24" spans="1:28" ht="15" hidden="1">
      <c r="A24" s="85"/>
      <c r="B24" s="100" t="s">
        <v>123</v>
      </c>
      <c r="C24" s="36" t="s">
        <v>164</v>
      </c>
      <c r="D24" s="36" t="s">
        <v>124</v>
      </c>
      <c r="E24" s="37" t="s">
        <v>125</v>
      </c>
      <c r="F24" s="37" t="s">
        <v>126</v>
      </c>
      <c r="G24" s="36" t="s">
        <v>10</v>
      </c>
      <c r="S24" s="39"/>
      <c r="T24" s="1"/>
      <c r="U24" s="1"/>
      <c r="V24" s="1"/>
      <c r="W24" s="1"/>
      <c r="X24" s="1"/>
      <c r="Y24" s="1"/>
      <c r="Z24" s="1"/>
      <c r="AA24" s="1"/>
      <c r="AB24" s="1"/>
    </row>
    <row r="25" spans="1:28" ht="15" hidden="1">
      <c r="A25" s="85"/>
      <c r="B25" s="102" t="s">
        <v>127</v>
      </c>
      <c r="C25" s="36" t="str">
        <f>CONCATENATE(C22*100,B24)</f>
        <v>3,41%</v>
      </c>
      <c r="D25" s="36" t="str">
        <f>CONCATENATE(D22*100,B24)</f>
        <v>3,59%</v>
      </c>
      <c r="E25" s="36" t="str">
        <f>CONCATENATE(E21," ",B21,E22,B22,E23,B23)</f>
        <v>0,95 (0,85-1,07)</v>
      </c>
      <c r="F25" s="36" t="str">
        <f>CONCATENATE(F21*100,B24," ",B21,F22*100,B24," ",B25," ",F23*100,B24,B23)</f>
        <v>0,18% (-0,25% a 0,54%)</v>
      </c>
      <c r="G25" s="36" t="str">
        <f>CONCATENATE(G21," ",B21,G22," ",B25," ",G23,B23)</f>
        <v>557 (186 a -398)</v>
      </c>
      <c r="S25" s="39"/>
      <c r="T25" s="1"/>
      <c r="U25" s="1"/>
      <c r="V25" s="1"/>
      <c r="W25" s="1"/>
      <c r="X25" s="1"/>
      <c r="Y25" s="1"/>
      <c r="Z25" s="1"/>
      <c r="AA25" s="1"/>
      <c r="AB25" s="1"/>
    </row>
    <row r="26" spans="1:28" ht="15" hidden="1">
      <c r="A26" s="103"/>
      <c r="B26" s="79"/>
      <c r="C26" s="16"/>
      <c r="D26" s="16"/>
      <c r="E26" s="16"/>
      <c r="F26" s="16"/>
      <c r="G26" s="16"/>
      <c r="S26" s="39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thickBot="1">
      <c r="A27" s="291">
        <f>A13*A14</f>
        <v>3.5909256886801716E-2</v>
      </c>
      <c r="B27" s="292" t="s">
        <v>165</v>
      </c>
      <c r="C27" s="1"/>
      <c r="D27" s="1"/>
      <c r="E27" s="1"/>
      <c r="F27" s="1"/>
      <c r="G27" s="1"/>
      <c r="S27" s="39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thickBot="1">
      <c r="A28" s="104"/>
      <c r="B28" s="1"/>
      <c r="C28" s="298" t="s">
        <v>166</v>
      </c>
      <c r="D28" s="299" t="s">
        <v>124</v>
      </c>
      <c r="E28" s="299" t="s">
        <v>125</v>
      </c>
      <c r="F28" s="299" t="s">
        <v>9</v>
      </c>
      <c r="G28" s="300" t="s">
        <v>10</v>
      </c>
      <c r="S28" s="39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thickBot="1">
      <c r="A29" s="105"/>
      <c r="B29" s="38"/>
      <c r="C29" s="301" t="str">
        <f>C25</f>
        <v>3,41%</v>
      </c>
      <c r="D29" s="302" t="str">
        <f>D25</f>
        <v>3,59%</v>
      </c>
      <c r="E29" s="302" t="str">
        <f>E25</f>
        <v>0,95 (0,85-1,07)</v>
      </c>
      <c r="F29" s="302" t="str">
        <f>F25</f>
        <v>0,18% (-0,25% a 0,54%)</v>
      </c>
      <c r="G29" s="303" t="str">
        <f>G25</f>
        <v>557 (186 a -398)</v>
      </c>
      <c r="S29" s="39"/>
      <c r="T29" s="1"/>
      <c r="U29" s="1"/>
      <c r="V29" s="1"/>
      <c r="W29" s="1"/>
      <c r="X29" s="1"/>
      <c r="Y29" s="1"/>
      <c r="Z29" s="1"/>
      <c r="AA29" s="1"/>
      <c r="AB29" s="1"/>
    </row>
    <row r="30" spans="1:28" ht="15">
      <c r="B30" s="2"/>
      <c r="C30" s="2"/>
      <c r="E30" s="4"/>
      <c r="F30" s="3"/>
      <c r="S30" s="39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thickBot="1">
      <c r="D31" s="4"/>
      <c r="E31" s="4"/>
      <c r="S31" s="39"/>
      <c r="T31" s="1"/>
      <c r="U31" s="1"/>
      <c r="V31" s="1"/>
      <c r="W31" s="1"/>
      <c r="X31" s="1"/>
      <c r="Y31" s="1"/>
      <c r="Z31" s="1"/>
      <c r="AA31" s="1"/>
      <c r="AB31" s="1"/>
    </row>
    <row r="32" spans="1:28" ht="22.5" customHeight="1" thickBot="1">
      <c r="A32" s="369" t="s">
        <v>263</v>
      </c>
      <c r="B32" s="304" t="str">
        <f>B2</f>
        <v>ACV totales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6"/>
      <c r="S32" s="39"/>
      <c r="T32" s="1"/>
      <c r="U32" s="1"/>
    </row>
    <row r="33" spans="1:256" ht="36" customHeight="1" thickBot="1">
      <c r="A33" s="397" t="s">
        <v>135</v>
      </c>
      <c r="B33" s="397" t="s">
        <v>136</v>
      </c>
      <c r="C33" s="401" t="s">
        <v>7</v>
      </c>
      <c r="D33" s="403" t="s">
        <v>137</v>
      </c>
      <c r="E33" s="397" t="s">
        <v>138</v>
      </c>
      <c r="F33" s="397" t="s">
        <v>242</v>
      </c>
      <c r="G33" s="397" t="s">
        <v>243</v>
      </c>
      <c r="H33" s="397" t="s">
        <v>244</v>
      </c>
      <c r="I33" s="397" t="s">
        <v>245</v>
      </c>
      <c r="J33" s="397" t="s">
        <v>139</v>
      </c>
      <c r="K33" s="399" t="s">
        <v>140</v>
      </c>
      <c r="L33" s="386" t="s">
        <v>141</v>
      </c>
      <c r="M33" s="387"/>
      <c r="N33" s="387"/>
      <c r="O33" s="388"/>
      <c r="S33" s="39"/>
      <c r="T33" s="1"/>
      <c r="U33" s="1"/>
    </row>
    <row r="34" spans="1:256" ht="43.5" customHeight="1" thickBot="1">
      <c r="A34" s="398"/>
      <c r="B34" s="398"/>
      <c r="C34" s="402"/>
      <c r="D34" s="404"/>
      <c r="E34" s="398"/>
      <c r="F34" s="398"/>
      <c r="G34" s="398"/>
      <c r="H34" s="398"/>
      <c r="I34" s="398"/>
      <c r="J34" s="398"/>
      <c r="K34" s="400"/>
      <c r="L34" s="307" t="s">
        <v>8</v>
      </c>
      <c r="M34" s="308" t="s">
        <v>9</v>
      </c>
      <c r="N34" s="309" t="s">
        <v>10</v>
      </c>
      <c r="O34" s="310" t="s">
        <v>142</v>
      </c>
      <c r="S34" s="39"/>
      <c r="T34" s="1"/>
      <c r="U34" s="1"/>
    </row>
    <row r="35" spans="1:256" ht="24.75" customHeight="1">
      <c r="A35" s="389">
        <v>9</v>
      </c>
      <c r="B35" s="311" t="str">
        <f>A5</f>
        <v>ACCORD 2008, 3,8y</v>
      </c>
      <c r="C35" s="312" t="s">
        <v>11</v>
      </c>
      <c r="D35" s="313"/>
      <c r="E35" s="314">
        <f t="shared" ref="E35:E40" si="9">H5</f>
        <v>3.8</v>
      </c>
      <c r="F35" s="315" t="str">
        <f t="shared" ref="F35:F40" si="10">P5</f>
        <v>76 / 5128</v>
      </c>
      <c r="G35" s="316">
        <f t="shared" ref="G35:G40" si="11">L5</f>
        <v>3.9001560062402502E-3</v>
      </c>
      <c r="H35" s="315" t="str">
        <f t="shared" ref="H35:H40" si="12">Q5</f>
        <v>72 / 5123</v>
      </c>
      <c r="I35" s="317">
        <f t="shared" ref="I35:J40" si="13">M5</f>
        <v>3.6984908102776952E-3</v>
      </c>
      <c r="J35" s="318">
        <f t="shared" si="13"/>
        <v>62</v>
      </c>
      <c r="K35" s="6">
        <v>0.13200000000000001</v>
      </c>
      <c r="L35" s="7" t="s">
        <v>29</v>
      </c>
      <c r="M35" s="5" t="s">
        <v>30</v>
      </c>
      <c r="N35" s="5" t="s">
        <v>31</v>
      </c>
      <c r="O35" s="42" t="s">
        <v>115</v>
      </c>
      <c r="P35" s="40"/>
      <c r="Q35" s="43">
        <v>3</v>
      </c>
      <c r="R35" s="44">
        <f>Q35*K35</f>
        <v>0.39600000000000002</v>
      </c>
      <c r="S35" s="39"/>
      <c r="T35" s="1"/>
      <c r="U35" s="1"/>
    </row>
    <row r="36" spans="1:256" ht="24.75" customHeight="1">
      <c r="A36" s="390"/>
      <c r="B36" s="311" t="str">
        <f>A6</f>
        <v>ADVANCE 2008, 5y</v>
      </c>
      <c r="C36" s="312" t="s">
        <v>11</v>
      </c>
      <c r="D36" s="313"/>
      <c r="E36" s="314">
        <f t="shared" si="9"/>
        <v>5</v>
      </c>
      <c r="F36" s="315" t="str">
        <f t="shared" si="10"/>
        <v>238 / 5571</v>
      </c>
      <c r="G36" s="316">
        <f t="shared" si="11"/>
        <v>8.5442469933584633E-3</v>
      </c>
      <c r="H36" s="315" t="str">
        <f t="shared" si="12"/>
        <v>246 / 5569</v>
      </c>
      <c r="I36" s="316">
        <f t="shared" si="13"/>
        <v>8.8346202190698504E-3</v>
      </c>
      <c r="J36" s="318">
        <f t="shared" si="13"/>
        <v>66</v>
      </c>
      <c r="K36" s="6">
        <v>0.44400000000000001</v>
      </c>
      <c r="L36" s="7" t="s">
        <v>32</v>
      </c>
      <c r="M36" s="5" t="s">
        <v>33</v>
      </c>
      <c r="N36" s="5" t="s">
        <v>34</v>
      </c>
      <c r="O36" s="45" t="s">
        <v>116</v>
      </c>
      <c r="P36" s="40"/>
      <c r="Q36" s="43">
        <v>3.5</v>
      </c>
      <c r="R36" s="44">
        <f t="shared" ref="R36:R39" si="14">Q36*K36</f>
        <v>1.554</v>
      </c>
      <c r="S36" s="39"/>
      <c r="T36" s="1"/>
      <c r="U36" s="1"/>
    </row>
    <row r="37" spans="1:256" ht="24.75" customHeight="1">
      <c r="A37" s="390"/>
      <c r="B37" s="311" t="str">
        <f>A7</f>
        <v>PROactive 2005, 2,8y</v>
      </c>
      <c r="C37" s="312" t="s">
        <v>11</v>
      </c>
      <c r="D37" s="313"/>
      <c r="E37" s="314">
        <f t="shared" si="9"/>
        <v>2.8</v>
      </c>
      <c r="F37" s="315" t="str">
        <f t="shared" si="10"/>
        <v>86 / 2605</v>
      </c>
      <c r="G37" s="316">
        <f t="shared" si="11"/>
        <v>1.1790512750205651E-2</v>
      </c>
      <c r="H37" s="315" t="str">
        <f t="shared" si="12"/>
        <v>107 / 2633</v>
      </c>
      <c r="I37" s="316">
        <f t="shared" si="13"/>
        <v>1.4513591232163205E-2</v>
      </c>
      <c r="J37" s="318">
        <f t="shared" si="13"/>
        <v>62</v>
      </c>
      <c r="K37" s="6">
        <v>0.17399999999999999</v>
      </c>
      <c r="L37" s="7" t="s">
        <v>35</v>
      </c>
      <c r="M37" s="5" t="s">
        <v>36</v>
      </c>
      <c r="N37" s="5" t="s">
        <v>37</v>
      </c>
      <c r="O37" s="45" t="s">
        <v>116</v>
      </c>
      <c r="P37" s="40"/>
      <c r="Q37" s="43">
        <v>3.5</v>
      </c>
      <c r="R37" s="44">
        <f t="shared" si="14"/>
        <v>0.60899999999999999</v>
      </c>
      <c r="S37" s="39"/>
      <c r="T37" s="1"/>
      <c r="U37" s="1"/>
    </row>
    <row r="38" spans="1:256" ht="24.75" customHeight="1">
      <c r="A38" s="390"/>
      <c r="B38" s="311" t="str">
        <f>A8</f>
        <v>UKPDS 1998, 10y</v>
      </c>
      <c r="C38" s="312" t="s">
        <v>11</v>
      </c>
      <c r="D38" s="313"/>
      <c r="E38" s="314">
        <f t="shared" si="9"/>
        <v>10</v>
      </c>
      <c r="F38" s="315" t="str">
        <f t="shared" si="10"/>
        <v>160 / 3071</v>
      </c>
      <c r="G38" s="316">
        <f t="shared" si="11"/>
        <v>5.2100293064148489E-3</v>
      </c>
      <c r="H38" s="315" t="str">
        <f t="shared" si="12"/>
        <v>78 / 1549</v>
      </c>
      <c r="I38" s="316">
        <f t="shared" si="13"/>
        <v>5.0355067785668173E-3</v>
      </c>
      <c r="J38" s="318">
        <f t="shared" si="13"/>
        <v>53</v>
      </c>
      <c r="K38" s="6">
        <v>0.19400000000000001</v>
      </c>
      <c r="L38" s="7" t="s">
        <v>38</v>
      </c>
      <c r="M38" s="5" t="s">
        <v>39</v>
      </c>
      <c r="N38" s="5" t="s">
        <v>40</v>
      </c>
      <c r="O38" s="45" t="s">
        <v>115</v>
      </c>
      <c r="P38" s="40"/>
      <c r="Q38" s="43">
        <v>3</v>
      </c>
      <c r="R38" s="44">
        <f t="shared" si="14"/>
        <v>0.58200000000000007</v>
      </c>
      <c r="S38" s="39"/>
      <c r="T38" s="1"/>
      <c r="U38" s="1"/>
    </row>
    <row r="39" spans="1:256" ht="24.75" customHeight="1" thickBot="1">
      <c r="A39" s="391"/>
      <c r="B39" s="311" t="str">
        <f>A9</f>
        <v>VADT 2009, 5,6y</v>
      </c>
      <c r="C39" s="312" t="s">
        <v>11</v>
      </c>
      <c r="D39" s="313"/>
      <c r="E39" s="314">
        <f t="shared" si="9"/>
        <v>5.6</v>
      </c>
      <c r="F39" s="315" t="str">
        <f t="shared" si="10"/>
        <v>28 / 892</v>
      </c>
      <c r="G39" s="316">
        <f t="shared" si="11"/>
        <v>5.6053811659192831E-3</v>
      </c>
      <c r="H39" s="315" t="str">
        <f t="shared" si="12"/>
        <v>36 / 899</v>
      </c>
      <c r="I39" s="316">
        <f t="shared" si="13"/>
        <v>7.1508024789448598E-3</v>
      </c>
      <c r="J39" s="318">
        <f t="shared" si="13"/>
        <v>60</v>
      </c>
      <c r="K39" s="6">
        <v>5.7000000000000002E-2</v>
      </c>
      <c r="L39" s="7" t="s">
        <v>41</v>
      </c>
      <c r="M39" s="5" t="s">
        <v>42</v>
      </c>
      <c r="N39" s="5" t="s">
        <v>43</v>
      </c>
      <c r="O39" s="45" t="s">
        <v>116</v>
      </c>
      <c r="P39" s="40"/>
      <c r="Q39" s="43">
        <v>3.5</v>
      </c>
      <c r="R39" s="44">
        <f t="shared" si="14"/>
        <v>0.19950000000000001</v>
      </c>
      <c r="S39" s="39"/>
      <c r="T39" s="1"/>
      <c r="U39" s="1"/>
    </row>
    <row r="40" spans="1:256" ht="24" customHeight="1" thickBot="1">
      <c r="A40" s="319" t="s">
        <v>143</v>
      </c>
      <c r="B40" s="320">
        <f>COUNT(E35:E39)</f>
        <v>5</v>
      </c>
      <c r="C40" s="321"/>
      <c r="D40" s="108" t="s">
        <v>167</v>
      </c>
      <c r="E40" s="322">
        <f t="shared" si="9"/>
        <v>5.0105871670702173</v>
      </c>
      <c r="F40" s="323" t="str">
        <f t="shared" si="10"/>
        <v>588 / 17267</v>
      </c>
      <c r="G40" s="324">
        <f t="shared" si="11"/>
        <v>6.5087015140479479E-3</v>
      </c>
      <c r="H40" s="323" t="str">
        <f t="shared" si="12"/>
        <v>539 / 15773</v>
      </c>
      <c r="I40" s="324">
        <f t="shared" si="13"/>
        <v>7.1666764172468277E-3</v>
      </c>
      <c r="J40" s="322">
        <f t="shared" si="13"/>
        <v>61.981779661016951</v>
      </c>
      <c r="K40" s="6">
        <v>1</v>
      </c>
      <c r="L40" s="360" t="s">
        <v>44</v>
      </c>
      <c r="M40" s="11"/>
      <c r="N40" s="9"/>
      <c r="O40" s="48" t="s">
        <v>116</v>
      </c>
      <c r="P40" s="40"/>
      <c r="Q40" s="40"/>
      <c r="R40" s="49">
        <f>SUM(R35:R39)</f>
        <v>3.3405</v>
      </c>
      <c r="S40" s="39"/>
      <c r="T40" s="1"/>
      <c r="U40" s="1"/>
    </row>
    <row r="41" spans="1:256" ht="13.5" thickBot="1">
      <c r="A41" s="325"/>
      <c r="B41" s="325"/>
      <c r="C41" s="326"/>
      <c r="D41" s="327"/>
      <c r="E41" s="328"/>
      <c r="F41" s="329"/>
      <c r="G41" s="330"/>
      <c r="H41" s="329"/>
      <c r="I41" s="331"/>
      <c r="J41" s="332"/>
      <c r="K41" s="50"/>
      <c r="L41" s="46"/>
      <c r="M41" s="47"/>
      <c r="N41" s="47"/>
      <c r="O41" s="50"/>
      <c r="P41" s="40"/>
      <c r="Q41" s="40"/>
      <c r="R41" s="40"/>
    </row>
    <row r="42" spans="1:256" ht="48" thickBot="1">
      <c r="A42" s="334"/>
      <c r="B42" s="392" t="s">
        <v>246</v>
      </c>
      <c r="C42" s="393"/>
      <c r="D42" s="393"/>
      <c r="E42" s="393"/>
      <c r="F42" s="393"/>
      <c r="G42" s="393"/>
      <c r="H42" s="393"/>
      <c r="I42" s="394"/>
      <c r="J42" s="51" t="s">
        <v>144</v>
      </c>
      <c r="K42" s="52" t="s">
        <v>145</v>
      </c>
      <c r="L42" s="53" t="s">
        <v>8</v>
      </c>
      <c r="M42" s="54" t="s">
        <v>9</v>
      </c>
      <c r="N42" s="55" t="s">
        <v>10</v>
      </c>
      <c r="O42" s="47"/>
      <c r="P42" s="41"/>
      <c r="Q42" s="41"/>
      <c r="R42" s="41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30" customHeight="1">
      <c r="A43" s="395" t="s">
        <v>146</v>
      </c>
      <c r="B43" s="335" t="s">
        <v>147</v>
      </c>
      <c r="C43" s="336">
        <f>I40</f>
        <v>7.1666764172468277E-3</v>
      </c>
      <c r="D43" s="337" t="s">
        <v>148</v>
      </c>
      <c r="E43" s="337"/>
      <c r="F43" s="337"/>
      <c r="G43" s="337"/>
      <c r="H43" s="338">
        <f>J40</f>
        <v>61.981779661016951</v>
      </c>
      <c r="I43" s="339" t="s">
        <v>149</v>
      </c>
      <c r="J43" s="56">
        <v>6.7999999999999996E-3</v>
      </c>
      <c r="K43" s="57">
        <v>7.1999999999999998E-3</v>
      </c>
      <c r="L43" s="365" t="s">
        <v>218</v>
      </c>
      <c r="M43" s="58" t="s">
        <v>219</v>
      </c>
      <c r="N43" s="253" t="s">
        <v>220</v>
      </c>
      <c r="O43" s="59" t="s">
        <v>150</v>
      </c>
      <c r="P43" s="40"/>
      <c r="Q43" s="40"/>
      <c r="R43" s="40"/>
    </row>
    <row r="44" spans="1:256" ht="30" customHeight="1" thickBot="1">
      <c r="A44" s="396"/>
      <c r="B44" s="341" t="s">
        <v>147</v>
      </c>
      <c r="C44" s="342">
        <f>I40*E40</f>
        <v>3.5909256886801716E-2</v>
      </c>
      <c r="D44" s="343" t="s">
        <v>151</v>
      </c>
      <c r="E44" s="344"/>
      <c r="F44" s="345"/>
      <c r="G44" s="346">
        <f>E40</f>
        <v>5.0105871670702173</v>
      </c>
      <c r="H44" s="343" t="s">
        <v>2</v>
      </c>
      <c r="I44" s="347"/>
      <c r="J44" s="60">
        <v>3.4099999999999998E-2</v>
      </c>
      <c r="K44" s="61">
        <v>3.5900000000000001E-2</v>
      </c>
      <c r="L44" s="366" t="s">
        <v>218</v>
      </c>
      <c r="M44" s="62" t="s">
        <v>221</v>
      </c>
      <c r="N44" s="254" t="s">
        <v>222</v>
      </c>
      <c r="O44" s="63" t="s">
        <v>170</v>
      </c>
      <c r="P44" s="40"/>
      <c r="Q44" s="40"/>
      <c r="R44" s="40"/>
    </row>
    <row r="45" spans="1:256" ht="19.5" thickBot="1">
      <c r="A45" s="348"/>
      <c r="B45" s="349"/>
      <c r="C45" s="350"/>
      <c r="D45" s="351"/>
      <c r="E45" s="352"/>
      <c r="F45" s="353"/>
      <c r="G45" s="354"/>
      <c r="H45" s="351"/>
      <c r="I45" s="353"/>
      <c r="J45" s="64"/>
      <c r="K45" s="64"/>
      <c r="L45" s="65"/>
      <c r="M45" s="66"/>
      <c r="N45" s="66"/>
      <c r="O45" s="67"/>
      <c r="P45" s="40"/>
      <c r="Q45" s="40"/>
      <c r="R45" s="40"/>
    </row>
    <row r="46" spans="1:256" ht="19.5" thickBot="1">
      <c r="A46" s="355"/>
      <c r="B46" s="355"/>
      <c r="C46" s="333"/>
      <c r="D46" s="333"/>
      <c r="E46" s="333"/>
      <c r="F46" s="333"/>
      <c r="G46" s="333"/>
      <c r="H46" s="333"/>
      <c r="I46" s="356"/>
      <c r="J46" s="361"/>
      <c r="K46" s="362" t="s">
        <v>152</v>
      </c>
      <c r="L46" s="368" t="s">
        <v>223</v>
      </c>
      <c r="M46" s="68"/>
      <c r="N46" s="69"/>
      <c r="O46" s="70"/>
      <c r="P46" s="40"/>
      <c r="Q46" s="40"/>
      <c r="R46" s="40"/>
    </row>
    <row r="47" spans="1:256">
      <c r="A47" s="355"/>
      <c r="B47" s="355"/>
      <c r="C47" s="333"/>
      <c r="D47" s="333"/>
      <c r="E47" s="333"/>
      <c r="F47" s="333"/>
      <c r="G47" s="333"/>
      <c r="H47" s="333"/>
      <c r="I47" s="370" t="s">
        <v>153</v>
      </c>
      <c r="J47" s="363">
        <f>E40</f>
        <v>5.0105871670702173</v>
      </c>
      <c r="K47" s="363">
        <f>E40</f>
        <v>5.0105871670702173</v>
      </c>
      <c r="L47" s="50"/>
      <c r="M47" s="50"/>
      <c r="N47" s="50"/>
      <c r="O47" s="50"/>
      <c r="P47" s="40"/>
      <c r="Q47" s="40"/>
      <c r="R47" s="40"/>
    </row>
    <row r="48" spans="1:256" ht="16.5" customHeight="1">
      <c r="A48" s="355"/>
      <c r="B48" s="355"/>
      <c r="C48" s="333"/>
      <c r="D48" s="333"/>
      <c r="E48" s="333"/>
      <c r="F48" s="333"/>
      <c r="G48" s="333"/>
      <c r="H48" s="333"/>
      <c r="I48" s="371"/>
      <c r="J48" s="372" t="s">
        <v>0</v>
      </c>
      <c r="K48" s="372" t="s">
        <v>132</v>
      </c>
      <c r="L48" s="372" t="s">
        <v>237</v>
      </c>
      <c r="M48" s="50"/>
      <c r="N48" s="50"/>
      <c r="O48" s="50"/>
      <c r="P48" s="40"/>
      <c r="Q48" s="40"/>
      <c r="R48" s="40"/>
    </row>
    <row r="49" spans="1:18" ht="16.5" customHeight="1">
      <c r="A49" s="333"/>
      <c r="B49" s="355"/>
      <c r="C49" s="355"/>
      <c r="D49" s="333"/>
      <c r="E49" s="333"/>
      <c r="F49" s="333"/>
      <c r="G49" s="333"/>
      <c r="H49" s="333"/>
      <c r="I49" s="373" t="s">
        <v>154</v>
      </c>
      <c r="J49" s="376">
        <f>J43*1000*J47</f>
        <v>34.071992736077476</v>
      </c>
      <c r="K49" s="376">
        <f>K43*1000*K47</f>
        <v>36.076227602905568</v>
      </c>
      <c r="L49" s="375">
        <f>((J49*I10)+(K49*J10))/K10</f>
        <v>34.982515738498776</v>
      </c>
      <c r="M49" s="50"/>
      <c r="N49" s="50"/>
      <c r="O49" s="50"/>
      <c r="P49" s="40"/>
      <c r="Q49" s="40"/>
      <c r="R49" s="40"/>
    </row>
    <row r="50" spans="1:18">
      <c r="A50" s="1"/>
      <c r="B50" s="1"/>
      <c r="C50" s="1"/>
      <c r="D50" s="1"/>
      <c r="E50" s="1"/>
      <c r="F50" s="1"/>
      <c r="G50" s="1"/>
    </row>
    <row r="51" spans="1:18">
      <c r="A51" s="1"/>
      <c r="B51" s="1"/>
      <c r="C51" s="1"/>
      <c r="D51" s="1"/>
      <c r="E51" s="1"/>
      <c r="F51" s="1"/>
      <c r="G51" s="1"/>
    </row>
    <row r="52" spans="1:18">
      <c r="A52" s="1"/>
      <c r="B52" s="1"/>
      <c r="C52" s="1"/>
      <c r="D52" s="1"/>
      <c r="E52" s="1"/>
      <c r="F52" s="1"/>
      <c r="G52" s="1"/>
    </row>
    <row r="53" spans="1:18">
      <c r="A53" s="1"/>
      <c r="B53" s="1"/>
      <c r="C53" s="1"/>
      <c r="D53" s="1"/>
      <c r="E53" s="1"/>
      <c r="F53" s="1"/>
      <c r="G53" s="1"/>
    </row>
    <row r="54" spans="1:18">
      <c r="A54" s="1"/>
      <c r="B54" s="1"/>
      <c r="C54" s="1"/>
      <c r="D54" s="1"/>
      <c r="E54" s="1"/>
      <c r="F54" s="1"/>
      <c r="G54" s="1"/>
    </row>
    <row r="55" spans="1:18">
      <c r="A55" s="1"/>
      <c r="B55" s="1"/>
      <c r="C55" s="1"/>
      <c r="D55" s="1"/>
      <c r="E55" s="1"/>
      <c r="F55" s="1"/>
      <c r="G55" s="1"/>
    </row>
    <row r="56" spans="1:18">
      <c r="A56" s="1"/>
      <c r="B56" s="1"/>
      <c r="C56" s="1"/>
      <c r="D56" s="1"/>
      <c r="E56" s="1"/>
      <c r="F56" s="1"/>
      <c r="G56" s="1"/>
    </row>
    <row r="57" spans="1:18">
      <c r="A57" s="1"/>
      <c r="B57" s="1"/>
      <c r="C57" s="1"/>
      <c r="D57" s="1"/>
      <c r="E57" s="1"/>
      <c r="F57" s="1"/>
      <c r="G57" s="1"/>
    </row>
    <row r="58" spans="1:18">
      <c r="A58" s="1"/>
      <c r="B58" s="1"/>
      <c r="C58" s="1"/>
      <c r="D58" s="1"/>
      <c r="E58" s="1"/>
      <c r="F58" s="1"/>
      <c r="G58" s="1"/>
    </row>
    <row r="59" spans="1:18">
      <c r="A59" s="1"/>
      <c r="B59" s="1"/>
      <c r="C59" s="1"/>
      <c r="D59" s="1"/>
      <c r="E59" s="1"/>
      <c r="F59" s="1"/>
      <c r="G59" s="1"/>
    </row>
    <row r="60" spans="1:18">
      <c r="A60" s="1"/>
      <c r="B60" s="1"/>
      <c r="C60" s="1"/>
      <c r="D60" s="1"/>
      <c r="E60" s="1"/>
      <c r="F60" s="1"/>
      <c r="G60" s="1"/>
    </row>
    <row r="61" spans="1:18">
      <c r="A61" s="1"/>
      <c r="B61" s="1"/>
      <c r="C61" s="1"/>
      <c r="D61" s="1"/>
      <c r="E61" s="1"/>
      <c r="F61" s="1"/>
      <c r="G61" s="1"/>
    </row>
    <row r="62" spans="1:18">
      <c r="A62" s="1"/>
      <c r="B62" s="1"/>
      <c r="C62" s="1"/>
      <c r="D62" s="1"/>
      <c r="E62" s="1"/>
      <c r="F62" s="1"/>
      <c r="G62" s="1"/>
    </row>
    <row r="63" spans="1:18">
      <c r="A63" s="1"/>
      <c r="B63" s="1"/>
      <c r="C63" s="1"/>
      <c r="D63" s="1"/>
      <c r="E63" s="1"/>
      <c r="F63" s="1"/>
      <c r="G63" s="1"/>
    </row>
    <row r="64" spans="1:18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</sheetData>
  <mergeCells count="20">
    <mergeCell ref="B3:D3"/>
    <mergeCell ref="E3:G3"/>
    <mergeCell ref="I3:K3"/>
    <mergeCell ref="L3:M3"/>
    <mergeCell ref="D12:F12"/>
    <mergeCell ref="L33:O33"/>
    <mergeCell ref="A35:A39"/>
    <mergeCell ref="B42:I42"/>
    <mergeCell ref="A43:A44"/>
    <mergeCell ref="F33:F34"/>
    <mergeCell ref="G33:G34"/>
    <mergeCell ref="H33:H34"/>
    <mergeCell ref="I33:I34"/>
    <mergeCell ref="J33:J34"/>
    <mergeCell ref="K33:K34"/>
    <mergeCell ref="A33:A34"/>
    <mergeCell ref="B33:B34"/>
    <mergeCell ref="C33:C34"/>
    <mergeCell ref="D33:D34"/>
    <mergeCell ref="E33:E34"/>
  </mergeCells>
  <pageMargins left="0.7" right="0.7" top="0.75" bottom="0.75" header="0.3" footer="0.3"/>
  <ignoredErrors>
    <ignoredError sqref="H10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zoomScaleNormal="100" workbookViewId="0"/>
  </sheetViews>
  <sheetFormatPr baseColWidth="10" defaultColWidth="16" defaultRowHeight="12.75"/>
  <cols>
    <col min="1" max="1" width="21.42578125" style="2" customWidth="1"/>
    <col min="2" max="2" width="23.5703125" style="262" customWidth="1"/>
    <col min="3" max="3" width="15" style="262" customWidth="1"/>
    <col min="4" max="4" width="15.140625" style="2" customWidth="1"/>
    <col min="5" max="5" width="16" style="2" customWidth="1"/>
    <col min="6" max="6" width="20" style="2" customWidth="1"/>
    <col min="7" max="7" width="17.140625" style="2" customWidth="1"/>
    <col min="8" max="8" width="15.28515625" style="2" customWidth="1"/>
    <col min="9" max="9" width="12.7109375" style="2" customWidth="1"/>
    <col min="10" max="10" width="15.140625" style="2" customWidth="1"/>
    <col min="11" max="11" width="15.28515625" style="2" customWidth="1"/>
    <col min="12" max="12" width="23.85546875" style="2" customWidth="1"/>
    <col min="13" max="13" width="25.5703125" style="2" customWidth="1"/>
    <col min="14" max="14" width="25.28515625" style="2" customWidth="1"/>
    <col min="15" max="15" width="16.7109375" style="2" customWidth="1"/>
    <col min="16" max="16" width="16" style="2"/>
    <col min="17" max="17" width="12.140625" style="2" customWidth="1"/>
    <col min="18" max="18" width="4.42578125" style="2" customWidth="1"/>
    <col min="19" max="19" width="34.85546875" style="2" customWidth="1"/>
    <col min="20" max="256" width="16" style="2"/>
    <col min="257" max="257" width="21.42578125" style="2" customWidth="1"/>
    <col min="258" max="258" width="23.5703125" style="2" customWidth="1"/>
    <col min="259" max="259" width="15" style="2" customWidth="1"/>
    <col min="260" max="260" width="15.140625" style="2" customWidth="1"/>
    <col min="261" max="261" width="16" style="2" customWidth="1"/>
    <col min="262" max="262" width="16.140625" style="2" customWidth="1"/>
    <col min="263" max="263" width="17.140625" style="2" customWidth="1"/>
    <col min="264" max="264" width="15.28515625" style="2" customWidth="1"/>
    <col min="265" max="265" width="12.7109375" style="2" customWidth="1"/>
    <col min="266" max="266" width="15.140625" style="2" customWidth="1"/>
    <col min="267" max="267" width="15.28515625" style="2" customWidth="1"/>
    <col min="268" max="268" width="23.85546875" style="2" customWidth="1"/>
    <col min="269" max="269" width="25.5703125" style="2" customWidth="1"/>
    <col min="270" max="270" width="20.5703125" style="2" customWidth="1"/>
    <col min="271" max="271" width="16.7109375" style="2" customWidth="1"/>
    <col min="272" max="272" width="16" style="2"/>
    <col min="273" max="273" width="12.140625" style="2" customWidth="1"/>
    <col min="274" max="274" width="4.42578125" style="2" customWidth="1"/>
    <col min="275" max="275" width="34.85546875" style="2" customWidth="1"/>
    <col min="276" max="512" width="16" style="2"/>
    <col min="513" max="513" width="21.42578125" style="2" customWidth="1"/>
    <col min="514" max="514" width="23.5703125" style="2" customWidth="1"/>
    <col min="515" max="515" width="15" style="2" customWidth="1"/>
    <col min="516" max="516" width="15.140625" style="2" customWidth="1"/>
    <col min="517" max="517" width="16" style="2" customWidth="1"/>
    <col min="518" max="518" width="16.140625" style="2" customWidth="1"/>
    <col min="519" max="519" width="17.140625" style="2" customWidth="1"/>
    <col min="520" max="520" width="15.28515625" style="2" customWidth="1"/>
    <col min="521" max="521" width="12.7109375" style="2" customWidth="1"/>
    <col min="522" max="522" width="15.140625" style="2" customWidth="1"/>
    <col min="523" max="523" width="15.28515625" style="2" customWidth="1"/>
    <col min="524" max="524" width="23.85546875" style="2" customWidth="1"/>
    <col min="525" max="525" width="25.5703125" style="2" customWidth="1"/>
    <col min="526" max="526" width="20.5703125" style="2" customWidth="1"/>
    <col min="527" max="527" width="16.7109375" style="2" customWidth="1"/>
    <col min="528" max="528" width="16" style="2"/>
    <col min="529" max="529" width="12.140625" style="2" customWidth="1"/>
    <col min="530" max="530" width="4.42578125" style="2" customWidth="1"/>
    <col min="531" max="531" width="34.85546875" style="2" customWidth="1"/>
    <col min="532" max="768" width="16" style="2"/>
    <col min="769" max="769" width="21.42578125" style="2" customWidth="1"/>
    <col min="770" max="770" width="23.5703125" style="2" customWidth="1"/>
    <col min="771" max="771" width="15" style="2" customWidth="1"/>
    <col min="772" max="772" width="15.140625" style="2" customWidth="1"/>
    <col min="773" max="773" width="16" style="2" customWidth="1"/>
    <col min="774" max="774" width="16.140625" style="2" customWidth="1"/>
    <col min="775" max="775" width="17.140625" style="2" customWidth="1"/>
    <col min="776" max="776" width="15.28515625" style="2" customWidth="1"/>
    <col min="777" max="777" width="12.7109375" style="2" customWidth="1"/>
    <col min="778" max="778" width="15.140625" style="2" customWidth="1"/>
    <col min="779" max="779" width="15.28515625" style="2" customWidth="1"/>
    <col min="780" max="780" width="23.85546875" style="2" customWidth="1"/>
    <col min="781" max="781" width="25.5703125" style="2" customWidth="1"/>
    <col min="782" max="782" width="20.5703125" style="2" customWidth="1"/>
    <col min="783" max="783" width="16.7109375" style="2" customWidth="1"/>
    <col min="784" max="784" width="16" style="2"/>
    <col min="785" max="785" width="12.140625" style="2" customWidth="1"/>
    <col min="786" max="786" width="4.42578125" style="2" customWidth="1"/>
    <col min="787" max="787" width="34.85546875" style="2" customWidth="1"/>
    <col min="788" max="1024" width="16" style="2"/>
    <col min="1025" max="1025" width="21.42578125" style="2" customWidth="1"/>
    <col min="1026" max="1026" width="23.5703125" style="2" customWidth="1"/>
    <col min="1027" max="1027" width="15" style="2" customWidth="1"/>
    <col min="1028" max="1028" width="15.140625" style="2" customWidth="1"/>
    <col min="1029" max="1029" width="16" style="2" customWidth="1"/>
    <col min="1030" max="1030" width="16.140625" style="2" customWidth="1"/>
    <col min="1031" max="1031" width="17.140625" style="2" customWidth="1"/>
    <col min="1032" max="1032" width="15.28515625" style="2" customWidth="1"/>
    <col min="1033" max="1033" width="12.7109375" style="2" customWidth="1"/>
    <col min="1034" max="1034" width="15.140625" style="2" customWidth="1"/>
    <col min="1035" max="1035" width="15.28515625" style="2" customWidth="1"/>
    <col min="1036" max="1036" width="23.85546875" style="2" customWidth="1"/>
    <col min="1037" max="1037" width="25.5703125" style="2" customWidth="1"/>
    <col min="1038" max="1038" width="20.5703125" style="2" customWidth="1"/>
    <col min="1039" max="1039" width="16.7109375" style="2" customWidth="1"/>
    <col min="1040" max="1040" width="16" style="2"/>
    <col min="1041" max="1041" width="12.140625" style="2" customWidth="1"/>
    <col min="1042" max="1042" width="4.42578125" style="2" customWidth="1"/>
    <col min="1043" max="1043" width="34.85546875" style="2" customWidth="1"/>
    <col min="1044" max="1280" width="16" style="2"/>
    <col min="1281" max="1281" width="21.42578125" style="2" customWidth="1"/>
    <col min="1282" max="1282" width="23.5703125" style="2" customWidth="1"/>
    <col min="1283" max="1283" width="15" style="2" customWidth="1"/>
    <col min="1284" max="1284" width="15.140625" style="2" customWidth="1"/>
    <col min="1285" max="1285" width="16" style="2" customWidth="1"/>
    <col min="1286" max="1286" width="16.140625" style="2" customWidth="1"/>
    <col min="1287" max="1287" width="17.140625" style="2" customWidth="1"/>
    <col min="1288" max="1288" width="15.28515625" style="2" customWidth="1"/>
    <col min="1289" max="1289" width="12.7109375" style="2" customWidth="1"/>
    <col min="1290" max="1290" width="15.140625" style="2" customWidth="1"/>
    <col min="1291" max="1291" width="15.28515625" style="2" customWidth="1"/>
    <col min="1292" max="1292" width="23.85546875" style="2" customWidth="1"/>
    <col min="1293" max="1293" width="25.5703125" style="2" customWidth="1"/>
    <col min="1294" max="1294" width="20.5703125" style="2" customWidth="1"/>
    <col min="1295" max="1295" width="16.7109375" style="2" customWidth="1"/>
    <col min="1296" max="1296" width="16" style="2"/>
    <col min="1297" max="1297" width="12.140625" style="2" customWidth="1"/>
    <col min="1298" max="1298" width="4.42578125" style="2" customWidth="1"/>
    <col min="1299" max="1299" width="34.85546875" style="2" customWidth="1"/>
    <col min="1300" max="1536" width="16" style="2"/>
    <col min="1537" max="1537" width="21.42578125" style="2" customWidth="1"/>
    <col min="1538" max="1538" width="23.5703125" style="2" customWidth="1"/>
    <col min="1539" max="1539" width="15" style="2" customWidth="1"/>
    <col min="1540" max="1540" width="15.140625" style="2" customWidth="1"/>
    <col min="1541" max="1541" width="16" style="2" customWidth="1"/>
    <col min="1542" max="1542" width="16.140625" style="2" customWidth="1"/>
    <col min="1543" max="1543" width="17.140625" style="2" customWidth="1"/>
    <col min="1544" max="1544" width="15.28515625" style="2" customWidth="1"/>
    <col min="1545" max="1545" width="12.7109375" style="2" customWidth="1"/>
    <col min="1546" max="1546" width="15.140625" style="2" customWidth="1"/>
    <col min="1547" max="1547" width="15.28515625" style="2" customWidth="1"/>
    <col min="1548" max="1548" width="23.85546875" style="2" customWidth="1"/>
    <col min="1549" max="1549" width="25.5703125" style="2" customWidth="1"/>
    <col min="1550" max="1550" width="20.5703125" style="2" customWidth="1"/>
    <col min="1551" max="1551" width="16.7109375" style="2" customWidth="1"/>
    <col min="1552" max="1552" width="16" style="2"/>
    <col min="1553" max="1553" width="12.140625" style="2" customWidth="1"/>
    <col min="1554" max="1554" width="4.42578125" style="2" customWidth="1"/>
    <col min="1555" max="1555" width="34.85546875" style="2" customWidth="1"/>
    <col min="1556" max="1792" width="16" style="2"/>
    <col min="1793" max="1793" width="21.42578125" style="2" customWidth="1"/>
    <col min="1794" max="1794" width="23.5703125" style="2" customWidth="1"/>
    <col min="1795" max="1795" width="15" style="2" customWidth="1"/>
    <col min="1796" max="1796" width="15.140625" style="2" customWidth="1"/>
    <col min="1797" max="1797" width="16" style="2" customWidth="1"/>
    <col min="1798" max="1798" width="16.140625" style="2" customWidth="1"/>
    <col min="1799" max="1799" width="17.140625" style="2" customWidth="1"/>
    <col min="1800" max="1800" width="15.28515625" style="2" customWidth="1"/>
    <col min="1801" max="1801" width="12.7109375" style="2" customWidth="1"/>
    <col min="1802" max="1802" width="15.140625" style="2" customWidth="1"/>
    <col min="1803" max="1803" width="15.28515625" style="2" customWidth="1"/>
    <col min="1804" max="1804" width="23.85546875" style="2" customWidth="1"/>
    <col min="1805" max="1805" width="25.5703125" style="2" customWidth="1"/>
    <col min="1806" max="1806" width="20.5703125" style="2" customWidth="1"/>
    <col min="1807" max="1807" width="16.7109375" style="2" customWidth="1"/>
    <col min="1808" max="1808" width="16" style="2"/>
    <col min="1809" max="1809" width="12.140625" style="2" customWidth="1"/>
    <col min="1810" max="1810" width="4.42578125" style="2" customWidth="1"/>
    <col min="1811" max="1811" width="34.85546875" style="2" customWidth="1"/>
    <col min="1812" max="2048" width="16" style="2"/>
    <col min="2049" max="2049" width="21.42578125" style="2" customWidth="1"/>
    <col min="2050" max="2050" width="23.5703125" style="2" customWidth="1"/>
    <col min="2051" max="2051" width="15" style="2" customWidth="1"/>
    <col min="2052" max="2052" width="15.140625" style="2" customWidth="1"/>
    <col min="2053" max="2053" width="16" style="2" customWidth="1"/>
    <col min="2054" max="2054" width="16.140625" style="2" customWidth="1"/>
    <col min="2055" max="2055" width="17.140625" style="2" customWidth="1"/>
    <col min="2056" max="2056" width="15.28515625" style="2" customWidth="1"/>
    <col min="2057" max="2057" width="12.7109375" style="2" customWidth="1"/>
    <col min="2058" max="2058" width="15.140625" style="2" customWidth="1"/>
    <col min="2059" max="2059" width="15.28515625" style="2" customWidth="1"/>
    <col min="2060" max="2060" width="23.85546875" style="2" customWidth="1"/>
    <col min="2061" max="2061" width="25.5703125" style="2" customWidth="1"/>
    <col min="2062" max="2062" width="20.5703125" style="2" customWidth="1"/>
    <col min="2063" max="2063" width="16.7109375" style="2" customWidth="1"/>
    <col min="2064" max="2064" width="16" style="2"/>
    <col min="2065" max="2065" width="12.140625" style="2" customWidth="1"/>
    <col min="2066" max="2066" width="4.42578125" style="2" customWidth="1"/>
    <col min="2067" max="2067" width="34.85546875" style="2" customWidth="1"/>
    <col min="2068" max="2304" width="16" style="2"/>
    <col min="2305" max="2305" width="21.42578125" style="2" customWidth="1"/>
    <col min="2306" max="2306" width="23.5703125" style="2" customWidth="1"/>
    <col min="2307" max="2307" width="15" style="2" customWidth="1"/>
    <col min="2308" max="2308" width="15.140625" style="2" customWidth="1"/>
    <col min="2309" max="2309" width="16" style="2" customWidth="1"/>
    <col min="2310" max="2310" width="16.140625" style="2" customWidth="1"/>
    <col min="2311" max="2311" width="17.140625" style="2" customWidth="1"/>
    <col min="2312" max="2312" width="15.28515625" style="2" customWidth="1"/>
    <col min="2313" max="2313" width="12.7109375" style="2" customWidth="1"/>
    <col min="2314" max="2314" width="15.140625" style="2" customWidth="1"/>
    <col min="2315" max="2315" width="15.28515625" style="2" customWidth="1"/>
    <col min="2316" max="2316" width="23.85546875" style="2" customWidth="1"/>
    <col min="2317" max="2317" width="25.5703125" style="2" customWidth="1"/>
    <col min="2318" max="2318" width="20.5703125" style="2" customWidth="1"/>
    <col min="2319" max="2319" width="16.7109375" style="2" customWidth="1"/>
    <col min="2320" max="2320" width="16" style="2"/>
    <col min="2321" max="2321" width="12.140625" style="2" customWidth="1"/>
    <col min="2322" max="2322" width="4.42578125" style="2" customWidth="1"/>
    <col min="2323" max="2323" width="34.85546875" style="2" customWidth="1"/>
    <col min="2324" max="2560" width="16" style="2"/>
    <col min="2561" max="2561" width="21.42578125" style="2" customWidth="1"/>
    <col min="2562" max="2562" width="23.5703125" style="2" customWidth="1"/>
    <col min="2563" max="2563" width="15" style="2" customWidth="1"/>
    <col min="2564" max="2564" width="15.140625" style="2" customWidth="1"/>
    <col min="2565" max="2565" width="16" style="2" customWidth="1"/>
    <col min="2566" max="2566" width="16.140625" style="2" customWidth="1"/>
    <col min="2567" max="2567" width="17.140625" style="2" customWidth="1"/>
    <col min="2568" max="2568" width="15.28515625" style="2" customWidth="1"/>
    <col min="2569" max="2569" width="12.7109375" style="2" customWidth="1"/>
    <col min="2570" max="2570" width="15.140625" style="2" customWidth="1"/>
    <col min="2571" max="2571" width="15.28515625" style="2" customWidth="1"/>
    <col min="2572" max="2572" width="23.85546875" style="2" customWidth="1"/>
    <col min="2573" max="2573" width="25.5703125" style="2" customWidth="1"/>
    <col min="2574" max="2574" width="20.5703125" style="2" customWidth="1"/>
    <col min="2575" max="2575" width="16.7109375" style="2" customWidth="1"/>
    <col min="2576" max="2576" width="16" style="2"/>
    <col min="2577" max="2577" width="12.140625" style="2" customWidth="1"/>
    <col min="2578" max="2578" width="4.42578125" style="2" customWidth="1"/>
    <col min="2579" max="2579" width="34.85546875" style="2" customWidth="1"/>
    <col min="2580" max="2816" width="16" style="2"/>
    <col min="2817" max="2817" width="21.42578125" style="2" customWidth="1"/>
    <col min="2818" max="2818" width="23.5703125" style="2" customWidth="1"/>
    <col min="2819" max="2819" width="15" style="2" customWidth="1"/>
    <col min="2820" max="2820" width="15.140625" style="2" customWidth="1"/>
    <col min="2821" max="2821" width="16" style="2" customWidth="1"/>
    <col min="2822" max="2822" width="16.140625" style="2" customWidth="1"/>
    <col min="2823" max="2823" width="17.140625" style="2" customWidth="1"/>
    <col min="2824" max="2824" width="15.28515625" style="2" customWidth="1"/>
    <col min="2825" max="2825" width="12.7109375" style="2" customWidth="1"/>
    <col min="2826" max="2826" width="15.140625" style="2" customWidth="1"/>
    <col min="2827" max="2827" width="15.28515625" style="2" customWidth="1"/>
    <col min="2828" max="2828" width="23.85546875" style="2" customWidth="1"/>
    <col min="2829" max="2829" width="25.5703125" style="2" customWidth="1"/>
    <col min="2830" max="2830" width="20.5703125" style="2" customWidth="1"/>
    <col min="2831" max="2831" width="16.7109375" style="2" customWidth="1"/>
    <col min="2832" max="2832" width="16" style="2"/>
    <col min="2833" max="2833" width="12.140625" style="2" customWidth="1"/>
    <col min="2834" max="2834" width="4.42578125" style="2" customWidth="1"/>
    <col min="2835" max="2835" width="34.85546875" style="2" customWidth="1"/>
    <col min="2836" max="3072" width="16" style="2"/>
    <col min="3073" max="3073" width="21.42578125" style="2" customWidth="1"/>
    <col min="3074" max="3074" width="23.5703125" style="2" customWidth="1"/>
    <col min="3075" max="3075" width="15" style="2" customWidth="1"/>
    <col min="3076" max="3076" width="15.140625" style="2" customWidth="1"/>
    <col min="3077" max="3077" width="16" style="2" customWidth="1"/>
    <col min="3078" max="3078" width="16.140625" style="2" customWidth="1"/>
    <col min="3079" max="3079" width="17.140625" style="2" customWidth="1"/>
    <col min="3080" max="3080" width="15.28515625" style="2" customWidth="1"/>
    <col min="3081" max="3081" width="12.7109375" style="2" customWidth="1"/>
    <col min="3082" max="3082" width="15.140625" style="2" customWidth="1"/>
    <col min="3083" max="3083" width="15.28515625" style="2" customWidth="1"/>
    <col min="3084" max="3084" width="23.85546875" style="2" customWidth="1"/>
    <col min="3085" max="3085" width="25.5703125" style="2" customWidth="1"/>
    <col min="3086" max="3086" width="20.5703125" style="2" customWidth="1"/>
    <col min="3087" max="3087" width="16.7109375" style="2" customWidth="1"/>
    <col min="3088" max="3088" width="16" style="2"/>
    <col min="3089" max="3089" width="12.140625" style="2" customWidth="1"/>
    <col min="3090" max="3090" width="4.42578125" style="2" customWidth="1"/>
    <col min="3091" max="3091" width="34.85546875" style="2" customWidth="1"/>
    <col min="3092" max="3328" width="16" style="2"/>
    <col min="3329" max="3329" width="21.42578125" style="2" customWidth="1"/>
    <col min="3330" max="3330" width="23.5703125" style="2" customWidth="1"/>
    <col min="3331" max="3331" width="15" style="2" customWidth="1"/>
    <col min="3332" max="3332" width="15.140625" style="2" customWidth="1"/>
    <col min="3333" max="3333" width="16" style="2" customWidth="1"/>
    <col min="3334" max="3334" width="16.140625" style="2" customWidth="1"/>
    <col min="3335" max="3335" width="17.140625" style="2" customWidth="1"/>
    <col min="3336" max="3336" width="15.28515625" style="2" customWidth="1"/>
    <col min="3337" max="3337" width="12.7109375" style="2" customWidth="1"/>
    <col min="3338" max="3338" width="15.140625" style="2" customWidth="1"/>
    <col min="3339" max="3339" width="15.28515625" style="2" customWidth="1"/>
    <col min="3340" max="3340" width="23.85546875" style="2" customWidth="1"/>
    <col min="3341" max="3341" width="25.5703125" style="2" customWidth="1"/>
    <col min="3342" max="3342" width="20.5703125" style="2" customWidth="1"/>
    <col min="3343" max="3343" width="16.7109375" style="2" customWidth="1"/>
    <col min="3344" max="3344" width="16" style="2"/>
    <col min="3345" max="3345" width="12.140625" style="2" customWidth="1"/>
    <col min="3346" max="3346" width="4.42578125" style="2" customWidth="1"/>
    <col min="3347" max="3347" width="34.85546875" style="2" customWidth="1"/>
    <col min="3348" max="3584" width="16" style="2"/>
    <col min="3585" max="3585" width="21.42578125" style="2" customWidth="1"/>
    <col min="3586" max="3586" width="23.5703125" style="2" customWidth="1"/>
    <col min="3587" max="3587" width="15" style="2" customWidth="1"/>
    <col min="3588" max="3588" width="15.140625" style="2" customWidth="1"/>
    <col min="3589" max="3589" width="16" style="2" customWidth="1"/>
    <col min="3590" max="3590" width="16.140625" style="2" customWidth="1"/>
    <col min="3591" max="3591" width="17.140625" style="2" customWidth="1"/>
    <col min="3592" max="3592" width="15.28515625" style="2" customWidth="1"/>
    <col min="3593" max="3593" width="12.7109375" style="2" customWidth="1"/>
    <col min="3594" max="3594" width="15.140625" style="2" customWidth="1"/>
    <col min="3595" max="3595" width="15.28515625" style="2" customWidth="1"/>
    <col min="3596" max="3596" width="23.85546875" style="2" customWidth="1"/>
    <col min="3597" max="3597" width="25.5703125" style="2" customWidth="1"/>
    <col min="3598" max="3598" width="20.5703125" style="2" customWidth="1"/>
    <col min="3599" max="3599" width="16.7109375" style="2" customWidth="1"/>
    <col min="3600" max="3600" width="16" style="2"/>
    <col min="3601" max="3601" width="12.140625" style="2" customWidth="1"/>
    <col min="3602" max="3602" width="4.42578125" style="2" customWidth="1"/>
    <col min="3603" max="3603" width="34.85546875" style="2" customWidth="1"/>
    <col min="3604" max="3840" width="16" style="2"/>
    <col min="3841" max="3841" width="21.42578125" style="2" customWidth="1"/>
    <col min="3842" max="3842" width="23.5703125" style="2" customWidth="1"/>
    <col min="3843" max="3843" width="15" style="2" customWidth="1"/>
    <col min="3844" max="3844" width="15.140625" style="2" customWidth="1"/>
    <col min="3845" max="3845" width="16" style="2" customWidth="1"/>
    <col min="3846" max="3846" width="16.140625" style="2" customWidth="1"/>
    <col min="3847" max="3847" width="17.140625" style="2" customWidth="1"/>
    <col min="3848" max="3848" width="15.28515625" style="2" customWidth="1"/>
    <col min="3849" max="3849" width="12.7109375" style="2" customWidth="1"/>
    <col min="3850" max="3850" width="15.140625" style="2" customWidth="1"/>
    <col min="3851" max="3851" width="15.28515625" style="2" customWidth="1"/>
    <col min="3852" max="3852" width="23.85546875" style="2" customWidth="1"/>
    <col min="3853" max="3853" width="25.5703125" style="2" customWidth="1"/>
    <col min="3854" max="3854" width="20.5703125" style="2" customWidth="1"/>
    <col min="3855" max="3855" width="16.7109375" style="2" customWidth="1"/>
    <col min="3856" max="3856" width="16" style="2"/>
    <col min="3857" max="3857" width="12.140625" style="2" customWidth="1"/>
    <col min="3858" max="3858" width="4.42578125" style="2" customWidth="1"/>
    <col min="3859" max="3859" width="34.85546875" style="2" customWidth="1"/>
    <col min="3860" max="4096" width="16" style="2"/>
    <col min="4097" max="4097" width="21.42578125" style="2" customWidth="1"/>
    <col min="4098" max="4098" width="23.5703125" style="2" customWidth="1"/>
    <col min="4099" max="4099" width="15" style="2" customWidth="1"/>
    <col min="4100" max="4100" width="15.140625" style="2" customWidth="1"/>
    <col min="4101" max="4101" width="16" style="2" customWidth="1"/>
    <col min="4102" max="4102" width="16.140625" style="2" customWidth="1"/>
    <col min="4103" max="4103" width="17.140625" style="2" customWidth="1"/>
    <col min="4104" max="4104" width="15.28515625" style="2" customWidth="1"/>
    <col min="4105" max="4105" width="12.7109375" style="2" customWidth="1"/>
    <col min="4106" max="4106" width="15.140625" style="2" customWidth="1"/>
    <col min="4107" max="4107" width="15.28515625" style="2" customWidth="1"/>
    <col min="4108" max="4108" width="23.85546875" style="2" customWidth="1"/>
    <col min="4109" max="4109" width="25.5703125" style="2" customWidth="1"/>
    <col min="4110" max="4110" width="20.5703125" style="2" customWidth="1"/>
    <col min="4111" max="4111" width="16.7109375" style="2" customWidth="1"/>
    <col min="4112" max="4112" width="16" style="2"/>
    <col min="4113" max="4113" width="12.140625" style="2" customWidth="1"/>
    <col min="4114" max="4114" width="4.42578125" style="2" customWidth="1"/>
    <col min="4115" max="4115" width="34.85546875" style="2" customWidth="1"/>
    <col min="4116" max="4352" width="16" style="2"/>
    <col min="4353" max="4353" width="21.42578125" style="2" customWidth="1"/>
    <col min="4354" max="4354" width="23.5703125" style="2" customWidth="1"/>
    <col min="4355" max="4355" width="15" style="2" customWidth="1"/>
    <col min="4356" max="4356" width="15.140625" style="2" customWidth="1"/>
    <col min="4357" max="4357" width="16" style="2" customWidth="1"/>
    <col min="4358" max="4358" width="16.140625" style="2" customWidth="1"/>
    <col min="4359" max="4359" width="17.140625" style="2" customWidth="1"/>
    <col min="4360" max="4360" width="15.28515625" style="2" customWidth="1"/>
    <col min="4361" max="4361" width="12.7109375" style="2" customWidth="1"/>
    <col min="4362" max="4362" width="15.140625" style="2" customWidth="1"/>
    <col min="4363" max="4363" width="15.28515625" style="2" customWidth="1"/>
    <col min="4364" max="4364" width="23.85546875" style="2" customWidth="1"/>
    <col min="4365" max="4365" width="25.5703125" style="2" customWidth="1"/>
    <col min="4366" max="4366" width="20.5703125" style="2" customWidth="1"/>
    <col min="4367" max="4367" width="16.7109375" style="2" customWidth="1"/>
    <col min="4368" max="4368" width="16" style="2"/>
    <col min="4369" max="4369" width="12.140625" style="2" customWidth="1"/>
    <col min="4370" max="4370" width="4.42578125" style="2" customWidth="1"/>
    <col min="4371" max="4371" width="34.85546875" style="2" customWidth="1"/>
    <col min="4372" max="4608" width="16" style="2"/>
    <col min="4609" max="4609" width="21.42578125" style="2" customWidth="1"/>
    <col min="4610" max="4610" width="23.5703125" style="2" customWidth="1"/>
    <col min="4611" max="4611" width="15" style="2" customWidth="1"/>
    <col min="4612" max="4612" width="15.140625" style="2" customWidth="1"/>
    <col min="4613" max="4613" width="16" style="2" customWidth="1"/>
    <col min="4614" max="4614" width="16.140625" style="2" customWidth="1"/>
    <col min="4615" max="4615" width="17.140625" style="2" customWidth="1"/>
    <col min="4616" max="4616" width="15.28515625" style="2" customWidth="1"/>
    <col min="4617" max="4617" width="12.7109375" style="2" customWidth="1"/>
    <col min="4618" max="4618" width="15.140625" style="2" customWidth="1"/>
    <col min="4619" max="4619" width="15.28515625" style="2" customWidth="1"/>
    <col min="4620" max="4620" width="23.85546875" style="2" customWidth="1"/>
    <col min="4621" max="4621" width="25.5703125" style="2" customWidth="1"/>
    <col min="4622" max="4622" width="20.5703125" style="2" customWidth="1"/>
    <col min="4623" max="4623" width="16.7109375" style="2" customWidth="1"/>
    <col min="4624" max="4624" width="16" style="2"/>
    <col min="4625" max="4625" width="12.140625" style="2" customWidth="1"/>
    <col min="4626" max="4626" width="4.42578125" style="2" customWidth="1"/>
    <col min="4627" max="4627" width="34.85546875" style="2" customWidth="1"/>
    <col min="4628" max="4864" width="16" style="2"/>
    <col min="4865" max="4865" width="21.42578125" style="2" customWidth="1"/>
    <col min="4866" max="4866" width="23.5703125" style="2" customWidth="1"/>
    <col min="4867" max="4867" width="15" style="2" customWidth="1"/>
    <col min="4868" max="4868" width="15.140625" style="2" customWidth="1"/>
    <col min="4869" max="4869" width="16" style="2" customWidth="1"/>
    <col min="4870" max="4870" width="16.140625" style="2" customWidth="1"/>
    <col min="4871" max="4871" width="17.140625" style="2" customWidth="1"/>
    <col min="4872" max="4872" width="15.28515625" style="2" customWidth="1"/>
    <col min="4873" max="4873" width="12.7109375" style="2" customWidth="1"/>
    <col min="4874" max="4874" width="15.140625" style="2" customWidth="1"/>
    <col min="4875" max="4875" width="15.28515625" style="2" customWidth="1"/>
    <col min="4876" max="4876" width="23.85546875" style="2" customWidth="1"/>
    <col min="4877" max="4877" width="25.5703125" style="2" customWidth="1"/>
    <col min="4878" max="4878" width="20.5703125" style="2" customWidth="1"/>
    <col min="4879" max="4879" width="16.7109375" style="2" customWidth="1"/>
    <col min="4880" max="4880" width="16" style="2"/>
    <col min="4881" max="4881" width="12.140625" style="2" customWidth="1"/>
    <col min="4882" max="4882" width="4.42578125" style="2" customWidth="1"/>
    <col min="4883" max="4883" width="34.85546875" style="2" customWidth="1"/>
    <col min="4884" max="5120" width="16" style="2"/>
    <col min="5121" max="5121" width="21.42578125" style="2" customWidth="1"/>
    <col min="5122" max="5122" width="23.5703125" style="2" customWidth="1"/>
    <col min="5123" max="5123" width="15" style="2" customWidth="1"/>
    <col min="5124" max="5124" width="15.140625" style="2" customWidth="1"/>
    <col min="5125" max="5125" width="16" style="2" customWidth="1"/>
    <col min="5126" max="5126" width="16.140625" style="2" customWidth="1"/>
    <col min="5127" max="5127" width="17.140625" style="2" customWidth="1"/>
    <col min="5128" max="5128" width="15.28515625" style="2" customWidth="1"/>
    <col min="5129" max="5129" width="12.7109375" style="2" customWidth="1"/>
    <col min="5130" max="5130" width="15.140625" style="2" customWidth="1"/>
    <col min="5131" max="5131" width="15.28515625" style="2" customWidth="1"/>
    <col min="5132" max="5132" width="23.85546875" style="2" customWidth="1"/>
    <col min="5133" max="5133" width="25.5703125" style="2" customWidth="1"/>
    <col min="5134" max="5134" width="20.5703125" style="2" customWidth="1"/>
    <col min="5135" max="5135" width="16.7109375" style="2" customWidth="1"/>
    <col min="5136" max="5136" width="16" style="2"/>
    <col min="5137" max="5137" width="12.140625" style="2" customWidth="1"/>
    <col min="5138" max="5138" width="4.42578125" style="2" customWidth="1"/>
    <col min="5139" max="5139" width="34.85546875" style="2" customWidth="1"/>
    <col min="5140" max="5376" width="16" style="2"/>
    <col min="5377" max="5377" width="21.42578125" style="2" customWidth="1"/>
    <col min="5378" max="5378" width="23.5703125" style="2" customWidth="1"/>
    <col min="5379" max="5379" width="15" style="2" customWidth="1"/>
    <col min="5380" max="5380" width="15.140625" style="2" customWidth="1"/>
    <col min="5381" max="5381" width="16" style="2" customWidth="1"/>
    <col min="5382" max="5382" width="16.140625" style="2" customWidth="1"/>
    <col min="5383" max="5383" width="17.140625" style="2" customWidth="1"/>
    <col min="5384" max="5384" width="15.28515625" style="2" customWidth="1"/>
    <col min="5385" max="5385" width="12.7109375" style="2" customWidth="1"/>
    <col min="5386" max="5386" width="15.140625" style="2" customWidth="1"/>
    <col min="5387" max="5387" width="15.28515625" style="2" customWidth="1"/>
    <col min="5388" max="5388" width="23.85546875" style="2" customWidth="1"/>
    <col min="5389" max="5389" width="25.5703125" style="2" customWidth="1"/>
    <col min="5390" max="5390" width="20.5703125" style="2" customWidth="1"/>
    <col min="5391" max="5391" width="16.7109375" style="2" customWidth="1"/>
    <col min="5392" max="5392" width="16" style="2"/>
    <col min="5393" max="5393" width="12.140625" style="2" customWidth="1"/>
    <col min="5394" max="5394" width="4.42578125" style="2" customWidth="1"/>
    <col min="5395" max="5395" width="34.85546875" style="2" customWidth="1"/>
    <col min="5396" max="5632" width="16" style="2"/>
    <col min="5633" max="5633" width="21.42578125" style="2" customWidth="1"/>
    <col min="5634" max="5634" width="23.5703125" style="2" customWidth="1"/>
    <col min="5635" max="5635" width="15" style="2" customWidth="1"/>
    <col min="5636" max="5636" width="15.140625" style="2" customWidth="1"/>
    <col min="5637" max="5637" width="16" style="2" customWidth="1"/>
    <col min="5638" max="5638" width="16.140625" style="2" customWidth="1"/>
    <col min="5639" max="5639" width="17.140625" style="2" customWidth="1"/>
    <col min="5640" max="5640" width="15.28515625" style="2" customWidth="1"/>
    <col min="5641" max="5641" width="12.7109375" style="2" customWidth="1"/>
    <col min="5642" max="5642" width="15.140625" style="2" customWidth="1"/>
    <col min="5643" max="5643" width="15.28515625" style="2" customWidth="1"/>
    <col min="5644" max="5644" width="23.85546875" style="2" customWidth="1"/>
    <col min="5645" max="5645" width="25.5703125" style="2" customWidth="1"/>
    <col min="5646" max="5646" width="20.5703125" style="2" customWidth="1"/>
    <col min="5647" max="5647" width="16.7109375" style="2" customWidth="1"/>
    <col min="5648" max="5648" width="16" style="2"/>
    <col min="5649" max="5649" width="12.140625" style="2" customWidth="1"/>
    <col min="5650" max="5650" width="4.42578125" style="2" customWidth="1"/>
    <col min="5651" max="5651" width="34.85546875" style="2" customWidth="1"/>
    <col min="5652" max="5888" width="16" style="2"/>
    <col min="5889" max="5889" width="21.42578125" style="2" customWidth="1"/>
    <col min="5890" max="5890" width="23.5703125" style="2" customWidth="1"/>
    <col min="5891" max="5891" width="15" style="2" customWidth="1"/>
    <col min="5892" max="5892" width="15.140625" style="2" customWidth="1"/>
    <col min="5893" max="5893" width="16" style="2" customWidth="1"/>
    <col min="5894" max="5894" width="16.140625" style="2" customWidth="1"/>
    <col min="5895" max="5895" width="17.140625" style="2" customWidth="1"/>
    <col min="5896" max="5896" width="15.28515625" style="2" customWidth="1"/>
    <col min="5897" max="5897" width="12.7109375" style="2" customWidth="1"/>
    <col min="5898" max="5898" width="15.140625" style="2" customWidth="1"/>
    <col min="5899" max="5899" width="15.28515625" style="2" customWidth="1"/>
    <col min="5900" max="5900" width="23.85546875" style="2" customWidth="1"/>
    <col min="5901" max="5901" width="25.5703125" style="2" customWidth="1"/>
    <col min="5902" max="5902" width="20.5703125" style="2" customWidth="1"/>
    <col min="5903" max="5903" width="16.7109375" style="2" customWidth="1"/>
    <col min="5904" max="5904" width="16" style="2"/>
    <col min="5905" max="5905" width="12.140625" style="2" customWidth="1"/>
    <col min="5906" max="5906" width="4.42578125" style="2" customWidth="1"/>
    <col min="5907" max="5907" width="34.85546875" style="2" customWidth="1"/>
    <col min="5908" max="6144" width="16" style="2"/>
    <col min="6145" max="6145" width="21.42578125" style="2" customWidth="1"/>
    <col min="6146" max="6146" width="23.5703125" style="2" customWidth="1"/>
    <col min="6147" max="6147" width="15" style="2" customWidth="1"/>
    <col min="6148" max="6148" width="15.140625" style="2" customWidth="1"/>
    <col min="6149" max="6149" width="16" style="2" customWidth="1"/>
    <col min="6150" max="6150" width="16.140625" style="2" customWidth="1"/>
    <col min="6151" max="6151" width="17.140625" style="2" customWidth="1"/>
    <col min="6152" max="6152" width="15.28515625" style="2" customWidth="1"/>
    <col min="6153" max="6153" width="12.7109375" style="2" customWidth="1"/>
    <col min="6154" max="6154" width="15.140625" style="2" customWidth="1"/>
    <col min="6155" max="6155" width="15.28515625" style="2" customWidth="1"/>
    <col min="6156" max="6156" width="23.85546875" style="2" customWidth="1"/>
    <col min="6157" max="6157" width="25.5703125" style="2" customWidth="1"/>
    <col min="6158" max="6158" width="20.5703125" style="2" customWidth="1"/>
    <col min="6159" max="6159" width="16.7109375" style="2" customWidth="1"/>
    <col min="6160" max="6160" width="16" style="2"/>
    <col min="6161" max="6161" width="12.140625" style="2" customWidth="1"/>
    <col min="6162" max="6162" width="4.42578125" style="2" customWidth="1"/>
    <col min="6163" max="6163" width="34.85546875" style="2" customWidth="1"/>
    <col min="6164" max="6400" width="16" style="2"/>
    <col min="6401" max="6401" width="21.42578125" style="2" customWidth="1"/>
    <col min="6402" max="6402" width="23.5703125" style="2" customWidth="1"/>
    <col min="6403" max="6403" width="15" style="2" customWidth="1"/>
    <col min="6404" max="6404" width="15.140625" style="2" customWidth="1"/>
    <col min="6405" max="6405" width="16" style="2" customWidth="1"/>
    <col min="6406" max="6406" width="16.140625" style="2" customWidth="1"/>
    <col min="6407" max="6407" width="17.140625" style="2" customWidth="1"/>
    <col min="6408" max="6408" width="15.28515625" style="2" customWidth="1"/>
    <col min="6409" max="6409" width="12.7109375" style="2" customWidth="1"/>
    <col min="6410" max="6410" width="15.140625" style="2" customWidth="1"/>
    <col min="6411" max="6411" width="15.28515625" style="2" customWidth="1"/>
    <col min="6412" max="6412" width="23.85546875" style="2" customWidth="1"/>
    <col min="6413" max="6413" width="25.5703125" style="2" customWidth="1"/>
    <col min="6414" max="6414" width="20.5703125" style="2" customWidth="1"/>
    <col min="6415" max="6415" width="16.7109375" style="2" customWidth="1"/>
    <col min="6416" max="6416" width="16" style="2"/>
    <col min="6417" max="6417" width="12.140625" style="2" customWidth="1"/>
    <col min="6418" max="6418" width="4.42578125" style="2" customWidth="1"/>
    <col min="6419" max="6419" width="34.85546875" style="2" customWidth="1"/>
    <col min="6420" max="6656" width="16" style="2"/>
    <col min="6657" max="6657" width="21.42578125" style="2" customWidth="1"/>
    <col min="6658" max="6658" width="23.5703125" style="2" customWidth="1"/>
    <col min="6659" max="6659" width="15" style="2" customWidth="1"/>
    <col min="6660" max="6660" width="15.140625" style="2" customWidth="1"/>
    <col min="6661" max="6661" width="16" style="2" customWidth="1"/>
    <col min="6662" max="6662" width="16.140625" style="2" customWidth="1"/>
    <col min="6663" max="6663" width="17.140625" style="2" customWidth="1"/>
    <col min="6664" max="6664" width="15.28515625" style="2" customWidth="1"/>
    <col min="6665" max="6665" width="12.7109375" style="2" customWidth="1"/>
    <col min="6666" max="6666" width="15.140625" style="2" customWidth="1"/>
    <col min="6667" max="6667" width="15.28515625" style="2" customWidth="1"/>
    <col min="6668" max="6668" width="23.85546875" style="2" customWidth="1"/>
    <col min="6669" max="6669" width="25.5703125" style="2" customWidth="1"/>
    <col min="6670" max="6670" width="20.5703125" style="2" customWidth="1"/>
    <col min="6671" max="6671" width="16.7109375" style="2" customWidth="1"/>
    <col min="6672" max="6672" width="16" style="2"/>
    <col min="6673" max="6673" width="12.140625" style="2" customWidth="1"/>
    <col min="6674" max="6674" width="4.42578125" style="2" customWidth="1"/>
    <col min="6675" max="6675" width="34.85546875" style="2" customWidth="1"/>
    <col min="6676" max="6912" width="16" style="2"/>
    <col min="6913" max="6913" width="21.42578125" style="2" customWidth="1"/>
    <col min="6914" max="6914" width="23.5703125" style="2" customWidth="1"/>
    <col min="6915" max="6915" width="15" style="2" customWidth="1"/>
    <col min="6916" max="6916" width="15.140625" style="2" customWidth="1"/>
    <col min="6917" max="6917" width="16" style="2" customWidth="1"/>
    <col min="6918" max="6918" width="16.140625" style="2" customWidth="1"/>
    <col min="6919" max="6919" width="17.140625" style="2" customWidth="1"/>
    <col min="6920" max="6920" width="15.28515625" style="2" customWidth="1"/>
    <col min="6921" max="6921" width="12.7109375" style="2" customWidth="1"/>
    <col min="6922" max="6922" width="15.140625" style="2" customWidth="1"/>
    <col min="6923" max="6923" width="15.28515625" style="2" customWidth="1"/>
    <col min="6924" max="6924" width="23.85546875" style="2" customWidth="1"/>
    <col min="6925" max="6925" width="25.5703125" style="2" customWidth="1"/>
    <col min="6926" max="6926" width="20.5703125" style="2" customWidth="1"/>
    <col min="6927" max="6927" width="16.7109375" style="2" customWidth="1"/>
    <col min="6928" max="6928" width="16" style="2"/>
    <col min="6929" max="6929" width="12.140625" style="2" customWidth="1"/>
    <col min="6930" max="6930" width="4.42578125" style="2" customWidth="1"/>
    <col min="6931" max="6931" width="34.85546875" style="2" customWidth="1"/>
    <col min="6932" max="7168" width="16" style="2"/>
    <col min="7169" max="7169" width="21.42578125" style="2" customWidth="1"/>
    <col min="7170" max="7170" width="23.5703125" style="2" customWidth="1"/>
    <col min="7171" max="7171" width="15" style="2" customWidth="1"/>
    <col min="7172" max="7172" width="15.140625" style="2" customWidth="1"/>
    <col min="7173" max="7173" width="16" style="2" customWidth="1"/>
    <col min="7174" max="7174" width="16.140625" style="2" customWidth="1"/>
    <col min="7175" max="7175" width="17.140625" style="2" customWidth="1"/>
    <col min="7176" max="7176" width="15.28515625" style="2" customWidth="1"/>
    <col min="7177" max="7177" width="12.7109375" style="2" customWidth="1"/>
    <col min="7178" max="7178" width="15.140625" style="2" customWidth="1"/>
    <col min="7179" max="7179" width="15.28515625" style="2" customWidth="1"/>
    <col min="7180" max="7180" width="23.85546875" style="2" customWidth="1"/>
    <col min="7181" max="7181" width="25.5703125" style="2" customWidth="1"/>
    <col min="7182" max="7182" width="20.5703125" style="2" customWidth="1"/>
    <col min="7183" max="7183" width="16.7109375" style="2" customWidth="1"/>
    <col min="7184" max="7184" width="16" style="2"/>
    <col min="7185" max="7185" width="12.140625" style="2" customWidth="1"/>
    <col min="7186" max="7186" width="4.42578125" style="2" customWidth="1"/>
    <col min="7187" max="7187" width="34.85546875" style="2" customWidth="1"/>
    <col min="7188" max="7424" width="16" style="2"/>
    <col min="7425" max="7425" width="21.42578125" style="2" customWidth="1"/>
    <col min="7426" max="7426" width="23.5703125" style="2" customWidth="1"/>
    <col min="7427" max="7427" width="15" style="2" customWidth="1"/>
    <col min="7428" max="7428" width="15.140625" style="2" customWidth="1"/>
    <col min="7429" max="7429" width="16" style="2" customWidth="1"/>
    <col min="7430" max="7430" width="16.140625" style="2" customWidth="1"/>
    <col min="7431" max="7431" width="17.140625" style="2" customWidth="1"/>
    <col min="7432" max="7432" width="15.28515625" style="2" customWidth="1"/>
    <col min="7433" max="7433" width="12.7109375" style="2" customWidth="1"/>
    <col min="7434" max="7434" width="15.140625" style="2" customWidth="1"/>
    <col min="7435" max="7435" width="15.28515625" style="2" customWidth="1"/>
    <col min="7436" max="7436" width="23.85546875" style="2" customWidth="1"/>
    <col min="7437" max="7437" width="25.5703125" style="2" customWidth="1"/>
    <col min="7438" max="7438" width="20.5703125" style="2" customWidth="1"/>
    <col min="7439" max="7439" width="16.7109375" style="2" customWidth="1"/>
    <col min="7440" max="7440" width="16" style="2"/>
    <col min="7441" max="7441" width="12.140625" style="2" customWidth="1"/>
    <col min="7442" max="7442" width="4.42578125" style="2" customWidth="1"/>
    <col min="7443" max="7443" width="34.85546875" style="2" customWidth="1"/>
    <col min="7444" max="7680" width="16" style="2"/>
    <col min="7681" max="7681" width="21.42578125" style="2" customWidth="1"/>
    <col min="7682" max="7682" width="23.5703125" style="2" customWidth="1"/>
    <col min="7683" max="7683" width="15" style="2" customWidth="1"/>
    <col min="7684" max="7684" width="15.140625" style="2" customWidth="1"/>
    <col min="7685" max="7685" width="16" style="2" customWidth="1"/>
    <col min="7686" max="7686" width="16.140625" style="2" customWidth="1"/>
    <col min="7687" max="7687" width="17.140625" style="2" customWidth="1"/>
    <col min="7688" max="7688" width="15.28515625" style="2" customWidth="1"/>
    <col min="7689" max="7689" width="12.7109375" style="2" customWidth="1"/>
    <col min="7690" max="7690" width="15.140625" style="2" customWidth="1"/>
    <col min="7691" max="7691" width="15.28515625" style="2" customWidth="1"/>
    <col min="7692" max="7692" width="23.85546875" style="2" customWidth="1"/>
    <col min="7693" max="7693" width="25.5703125" style="2" customWidth="1"/>
    <col min="7694" max="7694" width="20.5703125" style="2" customWidth="1"/>
    <col min="7695" max="7695" width="16.7109375" style="2" customWidth="1"/>
    <col min="7696" max="7696" width="16" style="2"/>
    <col min="7697" max="7697" width="12.140625" style="2" customWidth="1"/>
    <col min="7698" max="7698" width="4.42578125" style="2" customWidth="1"/>
    <col min="7699" max="7699" width="34.85546875" style="2" customWidth="1"/>
    <col min="7700" max="7936" width="16" style="2"/>
    <col min="7937" max="7937" width="21.42578125" style="2" customWidth="1"/>
    <col min="7938" max="7938" width="23.5703125" style="2" customWidth="1"/>
    <col min="7939" max="7939" width="15" style="2" customWidth="1"/>
    <col min="7940" max="7940" width="15.140625" style="2" customWidth="1"/>
    <col min="7941" max="7941" width="16" style="2" customWidth="1"/>
    <col min="7942" max="7942" width="16.140625" style="2" customWidth="1"/>
    <col min="7943" max="7943" width="17.140625" style="2" customWidth="1"/>
    <col min="7944" max="7944" width="15.28515625" style="2" customWidth="1"/>
    <col min="7945" max="7945" width="12.7109375" style="2" customWidth="1"/>
    <col min="7946" max="7946" width="15.140625" style="2" customWidth="1"/>
    <col min="7947" max="7947" width="15.28515625" style="2" customWidth="1"/>
    <col min="7948" max="7948" width="23.85546875" style="2" customWidth="1"/>
    <col min="7949" max="7949" width="25.5703125" style="2" customWidth="1"/>
    <col min="7950" max="7950" width="20.5703125" style="2" customWidth="1"/>
    <col min="7951" max="7951" width="16.7109375" style="2" customWidth="1"/>
    <col min="7952" max="7952" width="16" style="2"/>
    <col min="7953" max="7953" width="12.140625" style="2" customWidth="1"/>
    <col min="7954" max="7954" width="4.42578125" style="2" customWidth="1"/>
    <col min="7955" max="7955" width="34.85546875" style="2" customWidth="1"/>
    <col min="7956" max="8192" width="16" style="2"/>
    <col min="8193" max="8193" width="21.42578125" style="2" customWidth="1"/>
    <col min="8194" max="8194" width="23.5703125" style="2" customWidth="1"/>
    <col min="8195" max="8195" width="15" style="2" customWidth="1"/>
    <col min="8196" max="8196" width="15.140625" style="2" customWidth="1"/>
    <col min="8197" max="8197" width="16" style="2" customWidth="1"/>
    <col min="8198" max="8198" width="16.140625" style="2" customWidth="1"/>
    <col min="8199" max="8199" width="17.140625" style="2" customWidth="1"/>
    <col min="8200" max="8200" width="15.28515625" style="2" customWidth="1"/>
    <col min="8201" max="8201" width="12.7109375" style="2" customWidth="1"/>
    <col min="8202" max="8202" width="15.140625" style="2" customWidth="1"/>
    <col min="8203" max="8203" width="15.28515625" style="2" customWidth="1"/>
    <col min="8204" max="8204" width="23.85546875" style="2" customWidth="1"/>
    <col min="8205" max="8205" width="25.5703125" style="2" customWidth="1"/>
    <col min="8206" max="8206" width="20.5703125" style="2" customWidth="1"/>
    <col min="8207" max="8207" width="16.7109375" style="2" customWidth="1"/>
    <col min="8208" max="8208" width="16" style="2"/>
    <col min="8209" max="8209" width="12.140625" style="2" customWidth="1"/>
    <col min="8210" max="8210" width="4.42578125" style="2" customWidth="1"/>
    <col min="8211" max="8211" width="34.85546875" style="2" customWidth="1"/>
    <col min="8212" max="8448" width="16" style="2"/>
    <col min="8449" max="8449" width="21.42578125" style="2" customWidth="1"/>
    <col min="8450" max="8450" width="23.5703125" style="2" customWidth="1"/>
    <col min="8451" max="8451" width="15" style="2" customWidth="1"/>
    <col min="8452" max="8452" width="15.140625" style="2" customWidth="1"/>
    <col min="8453" max="8453" width="16" style="2" customWidth="1"/>
    <col min="8454" max="8454" width="16.140625" style="2" customWidth="1"/>
    <col min="8455" max="8455" width="17.140625" style="2" customWidth="1"/>
    <col min="8456" max="8456" width="15.28515625" style="2" customWidth="1"/>
    <col min="8457" max="8457" width="12.7109375" style="2" customWidth="1"/>
    <col min="8458" max="8458" width="15.140625" style="2" customWidth="1"/>
    <col min="8459" max="8459" width="15.28515625" style="2" customWidth="1"/>
    <col min="8460" max="8460" width="23.85546875" style="2" customWidth="1"/>
    <col min="8461" max="8461" width="25.5703125" style="2" customWidth="1"/>
    <col min="8462" max="8462" width="20.5703125" style="2" customWidth="1"/>
    <col min="8463" max="8463" width="16.7109375" style="2" customWidth="1"/>
    <col min="8464" max="8464" width="16" style="2"/>
    <col min="8465" max="8465" width="12.140625" style="2" customWidth="1"/>
    <col min="8466" max="8466" width="4.42578125" style="2" customWidth="1"/>
    <col min="8467" max="8467" width="34.85546875" style="2" customWidth="1"/>
    <col min="8468" max="8704" width="16" style="2"/>
    <col min="8705" max="8705" width="21.42578125" style="2" customWidth="1"/>
    <col min="8706" max="8706" width="23.5703125" style="2" customWidth="1"/>
    <col min="8707" max="8707" width="15" style="2" customWidth="1"/>
    <col min="8708" max="8708" width="15.140625" style="2" customWidth="1"/>
    <col min="8709" max="8709" width="16" style="2" customWidth="1"/>
    <col min="8710" max="8710" width="16.140625" style="2" customWidth="1"/>
    <col min="8711" max="8711" width="17.140625" style="2" customWidth="1"/>
    <col min="8712" max="8712" width="15.28515625" style="2" customWidth="1"/>
    <col min="8713" max="8713" width="12.7109375" style="2" customWidth="1"/>
    <col min="8714" max="8714" width="15.140625" style="2" customWidth="1"/>
    <col min="8715" max="8715" width="15.28515625" style="2" customWidth="1"/>
    <col min="8716" max="8716" width="23.85546875" style="2" customWidth="1"/>
    <col min="8717" max="8717" width="25.5703125" style="2" customWidth="1"/>
    <col min="8718" max="8718" width="20.5703125" style="2" customWidth="1"/>
    <col min="8719" max="8719" width="16.7109375" style="2" customWidth="1"/>
    <col min="8720" max="8720" width="16" style="2"/>
    <col min="8721" max="8721" width="12.140625" style="2" customWidth="1"/>
    <col min="8722" max="8722" width="4.42578125" style="2" customWidth="1"/>
    <col min="8723" max="8723" width="34.85546875" style="2" customWidth="1"/>
    <col min="8724" max="8960" width="16" style="2"/>
    <col min="8961" max="8961" width="21.42578125" style="2" customWidth="1"/>
    <col min="8962" max="8962" width="23.5703125" style="2" customWidth="1"/>
    <col min="8963" max="8963" width="15" style="2" customWidth="1"/>
    <col min="8964" max="8964" width="15.140625" style="2" customWidth="1"/>
    <col min="8965" max="8965" width="16" style="2" customWidth="1"/>
    <col min="8966" max="8966" width="16.140625" style="2" customWidth="1"/>
    <col min="8967" max="8967" width="17.140625" style="2" customWidth="1"/>
    <col min="8968" max="8968" width="15.28515625" style="2" customWidth="1"/>
    <col min="8969" max="8969" width="12.7109375" style="2" customWidth="1"/>
    <col min="8970" max="8970" width="15.140625" style="2" customWidth="1"/>
    <col min="8971" max="8971" width="15.28515625" style="2" customWidth="1"/>
    <col min="8972" max="8972" width="23.85546875" style="2" customWidth="1"/>
    <col min="8973" max="8973" width="25.5703125" style="2" customWidth="1"/>
    <col min="8974" max="8974" width="20.5703125" style="2" customWidth="1"/>
    <col min="8975" max="8975" width="16.7109375" style="2" customWidth="1"/>
    <col min="8976" max="8976" width="16" style="2"/>
    <col min="8977" max="8977" width="12.140625" style="2" customWidth="1"/>
    <col min="8978" max="8978" width="4.42578125" style="2" customWidth="1"/>
    <col min="8979" max="8979" width="34.85546875" style="2" customWidth="1"/>
    <col min="8980" max="9216" width="16" style="2"/>
    <col min="9217" max="9217" width="21.42578125" style="2" customWidth="1"/>
    <col min="9218" max="9218" width="23.5703125" style="2" customWidth="1"/>
    <col min="9219" max="9219" width="15" style="2" customWidth="1"/>
    <col min="9220" max="9220" width="15.140625" style="2" customWidth="1"/>
    <col min="9221" max="9221" width="16" style="2" customWidth="1"/>
    <col min="9222" max="9222" width="16.140625" style="2" customWidth="1"/>
    <col min="9223" max="9223" width="17.140625" style="2" customWidth="1"/>
    <col min="9224" max="9224" width="15.28515625" style="2" customWidth="1"/>
    <col min="9225" max="9225" width="12.7109375" style="2" customWidth="1"/>
    <col min="9226" max="9226" width="15.140625" style="2" customWidth="1"/>
    <col min="9227" max="9227" width="15.28515625" style="2" customWidth="1"/>
    <col min="9228" max="9228" width="23.85546875" style="2" customWidth="1"/>
    <col min="9229" max="9229" width="25.5703125" style="2" customWidth="1"/>
    <col min="9230" max="9230" width="20.5703125" style="2" customWidth="1"/>
    <col min="9231" max="9231" width="16.7109375" style="2" customWidth="1"/>
    <col min="9232" max="9232" width="16" style="2"/>
    <col min="9233" max="9233" width="12.140625" style="2" customWidth="1"/>
    <col min="9234" max="9234" width="4.42578125" style="2" customWidth="1"/>
    <col min="9235" max="9235" width="34.85546875" style="2" customWidth="1"/>
    <col min="9236" max="9472" width="16" style="2"/>
    <col min="9473" max="9473" width="21.42578125" style="2" customWidth="1"/>
    <col min="9474" max="9474" width="23.5703125" style="2" customWidth="1"/>
    <col min="9475" max="9475" width="15" style="2" customWidth="1"/>
    <col min="9476" max="9476" width="15.140625" style="2" customWidth="1"/>
    <col min="9477" max="9477" width="16" style="2" customWidth="1"/>
    <col min="9478" max="9478" width="16.140625" style="2" customWidth="1"/>
    <col min="9479" max="9479" width="17.140625" style="2" customWidth="1"/>
    <col min="9480" max="9480" width="15.28515625" style="2" customWidth="1"/>
    <col min="9481" max="9481" width="12.7109375" style="2" customWidth="1"/>
    <col min="9482" max="9482" width="15.140625" style="2" customWidth="1"/>
    <col min="9483" max="9483" width="15.28515625" style="2" customWidth="1"/>
    <col min="9484" max="9484" width="23.85546875" style="2" customWidth="1"/>
    <col min="9485" max="9485" width="25.5703125" style="2" customWidth="1"/>
    <col min="9486" max="9486" width="20.5703125" style="2" customWidth="1"/>
    <col min="9487" max="9487" width="16.7109375" style="2" customWidth="1"/>
    <col min="9488" max="9488" width="16" style="2"/>
    <col min="9489" max="9489" width="12.140625" style="2" customWidth="1"/>
    <col min="9490" max="9490" width="4.42578125" style="2" customWidth="1"/>
    <col min="9491" max="9491" width="34.85546875" style="2" customWidth="1"/>
    <col min="9492" max="9728" width="16" style="2"/>
    <col min="9729" max="9729" width="21.42578125" style="2" customWidth="1"/>
    <col min="9730" max="9730" width="23.5703125" style="2" customWidth="1"/>
    <col min="9731" max="9731" width="15" style="2" customWidth="1"/>
    <col min="9732" max="9732" width="15.140625" style="2" customWidth="1"/>
    <col min="9733" max="9733" width="16" style="2" customWidth="1"/>
    <col min="9734" max="9734" width="16.140625" style="2" customWidth="1"/>
    <col min="9735" max="9735" width="17.140625" style="2" customWidth="1"/>
    <col min="9736" max="9736" width="15.28515625" style="2" customWidth="1"/>
    <col min="9737" max="9737" width="12.7109375" style="2" customWidth="1"/>
    <col min="9738" max="9738" width="15.140625" style="2" customWidth="1"/>
    <col min="9739" max="9739" width="15.28515625" style="2" customWidth="1"/>
    <col min="9740" max="9740" width="23.85546875" style="2" customWidth="1"/>
    <col min="9741" max="9741" width="25.5703125" style="2" customWidth="1"/>
    <col min="9742" max="9742" width="20.5703125" style="2" customWidth="1"/>
    <col min="9743" max="9743" width="16.7109375" style="2" customWidth="1"/>
    <col min="9744" max="9744" width="16" style="2"/>
    <col min="9745" max="9745" width="12.140625" style="2" customWidth="1"/>
    <col min="9746" max="9746" width="4.42578125" style="2" customWidth="1"/>
    <col min="9747" max="9747" width="34.85546875" style="2" customWidth="1"/>
    <col min="9748" max="9984" width="16" style="2"/>
    <col min="9985" max="9985" width="21.42578125" style="2" customWidth="1"/>
    <col min="9986" max="9986" width="23.5703125" style="2" customWidth="1"/>
    <col min="9987" max="9987" width="15" style="2" customWidth="1"/>
    <col min="9988" max="9988" width="15.140625" style="2" customWidth="1"/>
    <col min="9989" max="9989" width="16" style="2" customWidth="1"/>
    <col min="9990" max="9990" width="16.140625" style="2" customWidth="1"/>
    <col min="9991" max="9991" width="17.140625" style="2" customWidth="1"/>
    <col min="9992" max="9992" width="15.28515625" style="2" customWidth="1"/>
    <col min="9993" max="9993" width="12.7109375" style="2" customWidth="1"/>
    <col min="9994" max="9994" width="15.140625" style="2" customWidth="1"/>
    <col min="9995" max="9995" width="15.28515625" style="2" customWidth="1"/>
    <col min="9996" max="9996" width="23.85546875" style="2" customWidth="1"/>
    <col min="9997" max="9997" width="25.5703125" style="2" customWidth="1"/>
    <col min="9998" max="9998" width="20.5703125" style="2" customWidth="1"/>
    <col min="9999" max="9999" width="16.7109375" style="2" customWidth="1"/>
    <col min="10000" max="10000" width="16" style="2"/>
    <col min="10001" max="10001" width="12.140625" style="2" customWidth="1"/>
    <col min="10002" max="10002" width="4.42578125" style="2" customWidth="1"/>
    <col min="10003" max="10003" width="34.85546875" style="2" customWidth="1"/>
    <col min="10004" max="10240" width="16" style="2"/>
    <col min="10241" max="10241" width="21.42578125" style="2" customWidth="1"/>
    <col min="10242" max="10242" width="23.5703125" style="2" customWidth="1"/>
    <col min="10243" max="10243" width="15" style="2" customWidth="1"/>
    <col min="10244" max="10244" width="15.140625" style="2" customWidth="1"/>
    <col min="10245" max="10245" width="16" style="2" customWidth="1"/>
    <col min="10246" max="10246" width="16.140625" style="2" customWidth="1"/>
    <col min="10247" max="10247" width="17.140625" style="2" customWidth="1"/>
    <col min="10248" max="10248" width="15.28515625" style="2" customWidth="1"/>
    <col min="10249" max="10249" width="12.7109375" style="2" customWidth="1"/>
    <col min="10250" max="10250" width="15.140625" style="2" customWidth="1"/>
    <col min="10251" max="10251" width="15.28515625" style="2" customWidth="1"/>
    <col min="10252" max="10252" width="23.85546875" style="2" customWidth="1"/>
    <col min="10253" max="10253" width="25.5703125" style="2" customWidth="1"/>
    <col min="10254" max="10254" width="20.5703125" style="2" customWidth="1"/>
    <col min="10255" max="10255" width="16.7109375" style="2" customWidth="1"/>
    <col min="10256" max="10256" width="16" style="2"/>
    <col min="10257" max="10257" width="12.140625" style="2" customWidth="1"/>
    <col min="10258" max="10258" width="4.42578125" style="2" customWidth="1"/>
    <col min="10259" max="10259" width="34.85546875" style="2" customWidth="1"/>
    <col min="10260" max="10496" width="16" style="2"/>
    <col min="10497" max="10497" width="21.42578125" style="2" customWidth="1"/>
    <col min="10498" max="10498" width="23.5703125" style="2" customWidth="1"/>
    <col min="10499" max="10499" width="15" style="2" customWidth="1"/>
    <col min="10500" max="10500" width="15.140625" style="2" customWidth="1"/>
    <col min="10501" max="10501" width="16" style="2" customWidth="1"/>
    <col min="10502" max="10502" width="16.140625" style="2" customWidth="1"/>
    <col min="10503" max="10503" width="17.140625" style="2" customWidth="1"/>
    <col min="10504" max="10504" width="15.28515625" style="2" customWidth="1"/>
    <col min="10505" max="10505" width="12.7109375" style="2" customWidth="1"/>
    <col min="10506" max="10506" width="15.140625" style="2" customWidth="1"/>
    <col min="10507" max="10507" width="15.28515625" style="2" customWidth="1"/>
    <col min="10508" max="10508" width="23.85546875" style="2" customWidth="1"/>
    <col min="10509" max="10509" width="25.5703125" style="2" customWidth="1"/>
    <col min="10510" max="10510" width="20.5703125" style="2" customWidth="1"/>
    <col min="10511" max="10511" width="16.7109375" style="2" customWidth="1"/>
    <col min="10512" max="10512" width="16" style="2"/>
    <col min="10513" max="10513" width="12.140625" style="2" customWidth="1"/>
    <col min="10514" max="10514" width="4.42578125" style="2" customWidth="1"/>
    <col min="10515" max="10515" width="34.85546875" style="2" customWidth="1"/>
    <col min="10516" max="10752" width="16" style="2"/>
    <col min="10753" max="10753" width="21.42578125" style="2" customWidth="1"/>
    <col min="10754" max="10754" width="23.5703125" style="2" customWidth="1"/>
    <col min="10755" max="10755" width="15" style="2" customWidth="1"/>
    <col min="10756" max="10756" width="15.140625" style="2" customWidth="1"/>
    <col min="10757" max="10757" width="16" style="2" customWidth="1"/>
    <col min="10758" max="10758" width="16.140625" style="2" customWidth="1"/>
    <col min="10759" max="10759" width="17.140625" style="2" customWidth="1"/>
    <col min="10760" max="10760" width="15.28515625" style="2" customWidth="1"/>
    <col min="10761" max="10761" width="12.7109375" style="2" customWidth="1"/>
    <col min="10762" max="10762" width="15.140625" style="2" customWidth="1"/>
    <col min="10763" max="10763" width="15.28515625" style="2" customWidth="1"/>
    <col min="10764" max="10764" width="23.85546875" style="2" customWidth="1"/>
    <col min="10765" max="10765" width="25.5703125" style="2" customWidth="1"/>
    <col min="10766" max="10766" width="20.5703125" style="2" customWidth="1"/>
    <col min="10767" max="10767" width="16.7109375" style="2" customWidth="1"/>
    <col min="10768" max="10768" width="16" style="2"/>
    <col min="10769" max="10769" width="12.140625" style="2" customWidth="1"/>
    <col min="10770" max="10770" width="4.42578125" style="2" customWidth="1"/>
    <col min="10771" max="10771" width="34.85546875" style="2" customWidth="1"/>
    <col min="10772" max="11008" width="16" style="2"/>
    <col min="11009" max="11009" width="21.42578125" style="2" customWidth="1"/>
    <col min="11010" max="11010" width="23.5703125" style="2" customWidth="1"/>
    <col min="11011" max="11011" width="15" style="2" customWidth="1"/>
    <col min="11012" max="11012" width="15.140625" style="2" customWidth="1"/>
    <col min="11013" max="11013" width="16" style="2" customWidth="1"/>
    <col min="11014" max="11014" width="16.140625" style="2" customWidth="1"/>
    <col min="11015" max="11015" width="17.140625" style="2" customWidth="1"/>
    <col min="11016" max="11016" width="15.28515625" style="2" customWidth="1"/>
    <col min="11017" max="11017" width="12.7109375" style="2" customWidth="1"/>
    <col min="11018" max="11018" width="15.140625" style="2" customWidth="1"/>
    <col min="11019" max="11019" width="15.28515625" style="2" customWidth="1"/>
    <col min="11020" max="11020" width="23.85546875" style="2" customWidth="1"/>
    <col min="11021" max="11021" width="25.5703125" style="2" customWidth="1"/>
    <col min="11022" max="11022" width="20.5703125" style="2" customWidth="1"/>
    <col min="11023" max="11023" width="16.7109375" style="2" customWidth="1"/>
    <col min="11024" max="11024" width="16" style="2"/>
    <col min="11025" max="11025" width="12.140625" style="2" customWidth="1"/>
    <col min="11026" max="11026" width="4.42578125" style="2" customWidth="1"/>
    <col min="11027" max="11027" width="34.85546875" style="2" customWidth="1"/>
    <col min="11028" max="11264" width="16" style="2"/>
    <col min="11265" max="11265" width="21.42578125" style="2" customWidth="1"/>
    <col min="11266" max="11266" width="23.5703125" style="2" customWidth="1"/>
    <col min="11267" max="11267" width="15" style="2" customWidth="1"/>
    <col min="11268" max="11268" width="15.140625" style="2" customWidth="1"/>
    <col min="11269" max="11269" width="16" style="2" customWidth="1"/>
    <col min="11270" max="11270" width="16.140625" style="2" customWidth="1"/>
    <col min="11271" max="11271" width="17.140625" style="2" customWidth="1"/>
    <col min="11272" max="11272" width="15.28515625" style="2" customWidth="1"/>
    <col min="11273" max="11273" width="12.7109375" style="2" customWidth="1"/>
    <col min="11274" max="11274" width="15.140625" style="2" customWidth="1"/>
    <col min="11275" max="11275" width="15.28515625" style="2" customWidth="1"/>
    <col min="11276" max="11276" width="23.85546875" style="2" customWidth="1"/>
    <col min="11277" max="11277" width="25.5703125" style="2" customWidth="1"/>
    <col min="11278" max="11278" width="20.5703125" style="2" customWidth="1"/>
    <col min="11279" max="11279" width="16.7109375" style="2" customWidth="1"/>
    <col min="11280" max="11280" width="16" style="2"/>
    <col min="11281" max="11281" width="12.140625" style="2" customWidth="1"/>
    <col min="11282" max="11282" width="4.42578125" style="2" customWidth="1"/>
    <col min="11283" max="11283" width="34.85546875" style="2" customWidth="1"/>
    <col min="11284" max="11520" width="16" style="2"/>
    <col min="11521" max="11521" width="21.42578125" style="2" customWidth="1"/>
    <col min="11522" max="11522" width="23.5703125" style="2" customWidth="1"/>
    <col min="11523" max="11523" width="15" style="2" customWidth="1"/>
    <col min="11524" max="11524" width="15.140625" style="2" customWidth="1"/>
    <col min="11525" max="11525" width="16" style="2" customWidth="1"/>
    <col min="11526" max="11526" width="16.140625" style="2" customWidth="1"/>
    <col min="11527" max="11527" width="17.140625" style="2" customWidth="1"/>
    <col min="11528" max="11528" width="15.28515625" style="2" customWidth="1"/>
    <col min="11529" max="11529" width="12.7109375" style="2" customWidth="1"/>
    <col min="11530" max="11530" width="15.140625" style="2" customWidth="1"/>
    <col min="11531" max="11531" width="15.28515625" style="2" customWidth="1"/>
    <col min="11532" max="11532" width="23.85546875" style="2" customWidth="1"/>
    <col min="11533" max="11533" width="25.5703125" style="2" customWidth="1"/>
    <col min="11534" max="11534" width="20.5703125" style="2" customWidth="1"/>
    <col min="11535" max="11535" width="16.7109375" style="2" customWidth="1"/>
    <col min="11536" max="11536" width="16" style="2"/>
    <col min="11537" max="11537" width="12.140625" style="2" customWidth="1"/>
    <col min="11538" max="11538" width="4.42578125" style="2" customWidth="1"/>
    <col min="11539" max="11539" width="34.85546875" style="2" customWidth="1"/>
    <col min="11540" max="11776" width="16" style="2"/>
    <col min="11777" max="11777" width="21.42578125" style="2" customWidth="1"/>
    <col min="11778" max="11778" width="23.5703125" style="2" customWidth="1"/>
    <col min="11779" max="11779" width="15" style="2" customWidth="1"/>
    <col min="11780" max="11780" width="15.140625" style="2" customWidth="1"/>
    <col min="11781" max="11781" width="16" style="2" customWidth="1"/>
    <col min="11782" max="11782" width="16.140625" style="2" customWidth="1"/>
    <col min="11783" max="11783" width="17.140625" style="2" customWidth="1"/>
    <col min="11784" max="11784" width="15.28515625" style="2" customWidth="1"/>
    <col min="11785" max="11785" width="12.7109375" style="2" customWidth="1"/>
    <col min="11786" max="11786" width="15.140625" style="2" customWidth="1"/>
    <col min="11787" max="11787" width="15.28515625" style="2" customWidth="1"/>
    <col min="11788" max="11788" width="23.85546875" style="2" customWidth="1"/>
    <col min="11789" max="11789" width="25.5703125" style="2" customWidth="1"/>
    <col min="11790" max="11790" width="20.5703125" style="2" customWidth="1"/>
    <col min="11791" max="11791" width="16.7109375" style="2" customWidth="1"/>
    <col min="11792" max="11792" width="16" style="2"/>
    <col min="11793" max="11793" width="12.140625" style="2" customWidth="1"/>
    <col min="11794" max="11794" width="4.42578125" style="2" customWidth="1"/>
    <col min="11795" max="11795" width="34.85546875" style="2" customWidth="1"/>
    <col min="11796" max="12032" width="16" style="2"/>
    <col min="12033" max="12033" width="21.42578125" style="2" customWidth="1"/>
    <col min="12034" max="12034" width="23.5703125" style="2" customWidth="1"/>
    <col min="12035" max="12035" width="15" style="2" customWidth="1"/>
    <col min="12036" max="12036" width="15.140625" style="2" customWidth="1"/>
    <col min="12037" max="12037" width="16" style="2" customWidth="1"/>
    <col min="12038" max="12038" width="16.140625" style="2" customWidth="1"/>
    <col min="12039" max="12039" width="17.140625" style="2" customWidth="1"/>
    <col min="12040" max="12040" width="15.28515625" style="2" customWidth="1"/>
    <col min="12041" max="12041" width="12.7109375" style="2" customWidth="1"/>
    <col min="12042" max="12042" width="15.140625" style="2" customWidth="1"/>
    <col min="12043" max="12043" width="15.28515625" style="2" customWidth="1"/>
    <col min="12044" max="12044" width="23.85546875" style="2" customWidth="1"/>
    <col min="12045" max="12045" width="25.5703125" style="2" customWidth="1"/>
    <col min="12046" max="12046" width="20.5703125" style="2" customWidth="1"/>
    <col min="12047" max="12047" width="16.7109375" style="2" customWidth="1"/>
    <col min="12048" max="12048" width="16" style="2"/>
    <col min="12049" max="12049" width="12.140625" style="2" customWidth="1"/>
    <col min="12050" max="12050" width="4.42578125" style="2" customWidth="1"/>
    <col min="12051" max="12051" width="34.85546875" style="2" customWidth="1"/>
    <col min="12052" max="12288" width="16" style="2"/>
    <col min="12289" max="12289" width="21.42578125" style="2" customWidth="1"/>
    <col min="12290" max="12290" width="23.5703125" style="2" customWidth="1"/>
    <col min="12291" max="12291" width="15" style="2" customWidth="1"/>
    <col min="12292" max="12292" width="15.140625" style="2" customWidth="1"/>
    <col min="12293" max="12293" width="16" style="2" customWidth="1"/>
    <col min="12294" max="12294" width="16.140625" style="2" customWidth="1"/>
    <col min="12295" max="12295" width="17.140625" style="2" customWidth="1"/>
    <col min="12296" max="12296" width="15.28515625" style="2" customWidth="1"/>
    <col min="12297" max="12297" width="12.7109375" style="2" customWidth="1"/>
    <col min="12298" max="12298" width="15.140625" style="2" customWidth="1"/>
    <col min="12299" max="12299" width="15.28515625" style="2" customWidth="1"/>
    <col min="12300" max="12300" width="23.85546875" style="2" customWidth="1"/>
    <col min="12301" max="12301" width="25.5703125" style="2" customWidth="1"/>
    <col min="12302" max="12302" width="20.5703125" style="2" customWidth="1"/>
    <col min="12303" max="12303" width="16.7109375" style="2" customWidth="1"/>
    <col min="12304" max="12304" width="16" style="2"/>
    <col min="12305" max="12305" width="12.140625" style="2" customWidth="1"/>
    <col min="12306" max="12306" width="4.42578125" style="2" customWidth="1"/>
    <col min="12307" max="12307" width="34.85546875" style="2" customWidth="1"/>
    <col min="12308" max="12544" width="16" style="2"/>
    <col min="12545" max="12545" width="21.42578125" style="2" customWidth="1"/>
    <col min="12546" max="12546" width="23.5703125" style="2" customWidth="1"/>
    <col min="12547" max="12547" width="15" style="2" customWidth="1"/>
    <col min="12548" max="12548" width="15.140625" style="2" customWidth="1"/>
    <col min="12549" max="12549" width="16" style="2" customWidth="1"/>
    <col min="12550" max="12550" width="16.140625" style="2" customWidth="1"/>
    <col min="12551" max="12551" width="17.140625" style="2" customWidth="1"/>
    <col min="12552" max="12552" width="15.28515625" style="2" customWidth="1"/>
    <col min="12553" max="12553" width="12.7109375" style="2" customWidth="1"/>
    <col min="12554" max="12554" width="15.140625" style="2" customWidth="1"/>
    <col min="12555" max="12555" width="15.28515625" style="2" customWidth="1"/>
    <col min="12556" max="12556" width="23.85546875" style="2" customWidth="1"/>
    <col min="12557" max="12557" width="25.5703125" style="2" customWidth="1"/>
    <col min="12558" max="12558" width="20.5703125" style="2" customWidth="1"/>
    <col min="12559" max="12559" width="16.7109375" style="2" customWidth="1"/>
    <col min="12560" max="12560" width="16" style="2"/>
    <col min="12561" max="12561" width="12.140625" style="2" customWidth="1"/>
    <col min="12562" max="12562" width="4.42578125" style="2" customWidth="1"/>
    <col min="12563" max="12563" width="34.85546875" style="2" customWidth="1"/>
    <col min="12564" max="12800" width="16" style="2"/>
    <col min="12801" max="12801" width="21.42578125" style="2" customWidth="1"/>
    <col min="12802" max="12802" width="23.5703125" style="2" customWidth="1"/>
    <col min="12803" max="12803" width="15" style="2" customWidth="1"/>
    <col min="12804" max="12804" width="15.140625" style="2" customWidth="1"/>
    <col min="12805" max="12805" width="16" style="2" customWidth="1"/>
    <col min="12806" max="12806" width="16.140625" style="2" customWidth="1"/>
    <col min="12807" max="12807" width="17.140625" style="2" customWidth="1"/>
    <col min="12808" max="12808" width="15.28515625" style="2" customWidth="1"/>
    <col min="12809" max="12809" width="12.7109375" style="2" customWidth="1"/>
    <col min="12810" max="12810" width="15.140625" style="2" customWidth="1"/>
    <col min="12811" max="12811" width="15.28515625" style="2" customWidth="1"/>
    <col min="12812" max="12812" width="23.85546875" style="2" customWidth="1"/>
    <col min="12813" max="12813" width="25.5703125" style="2" customWidth="1"/>
    <col min="12814" max="12814" width="20.5703125" style="2" customWidth="1"/>
    <col min="12815" max="12815" width="16.7109375" style="2" customWidth="1"/>
    <col min="12816" max="12816" width="16" style="2"/>
    <col min="12817" max="12817" width="12.140625" style="2" customWidth="1"/>
    <col min="12818" max="12818" width="4.42578125" style="2" customWidth="1"/>
    <col min="12819" max="12819" width="34.85546875" style="2" customWidth="1"/>
    <col min="12820" max="13056" width="16" style="2"/>
    <col min="13057" max="13057" width="21.42578125" style="2" customWidth="1"/>
    <col min="13058" max="13058" width="23.5703125" style="2" customWidth="1"/>
    <col min="13059" max="13059" width="15" style="2" customWidth="1"/>
    <col min="13060" max="13060" width="15.140625" style="2" customWidth="1"/>
    <col min="13061" max="13061" width="16" style="2" customWidth="1"/>
    <col min="13062" max="13062" width="16.140625" style="2" customWidth="1"/>
    <col min="13063" max="13063" width="17.140625" style="2" customWidth="1"/>
    <col min="13064" max="13064" width="15.28515625" style="2" customWidth="1"/>
    <col min="13065" max="13065" width="12.7109375" style="2" customWidth="1"/>
    <col min="13066" max="13066" width="15.140625" style="2" customWidth="1"/>
    <col min="13067" max="13067" width="15.28515625" style="2" customWidth="1"/>
    <col min="13068" max="13068" width="23.85546875" style="2" customWidth="1"/>
    <col min="13069" max="13069" width="25.5703125" style="2" customWidth="1"/>
    <col min="13070" max="13070" width="20.5703125" style="2" customWidth="1"/>
    <col min="13071" max="13071" width="16.7109375" style="2" customWidth="1"/>
    <col min="13072" max="13072" width="16" style="2"/>
    <col min="13073" max="13073" width="12.140625" style="2" customWidth="1"/>
    <col min="13074" max="13074" width="4.42578125" style="2" customWidth="1"/>
    <col min="13075" max="13075" width="34.85546875" style="2" customWidth="1"/>
    <col min="13076" max="13312" width="16" style="2"/>
    <col min="13313" max="13313" width="21.42578125" style="2" customWidth="1"/>
    <col min="13314" max="13314" width="23.5703125" style="2" customWidth="1"/>
    <col min="13315" max="13315" width="15" style="2" customWidth="1"/>
    <col min="13316" max="13316" width="15.140625" style="2" customWidth="1"/>
    <col min="13317" max="13317" width="16" style="2" customWidth="1"/>
    <col min="13318" max="13318" width="16.140625" style="2" customWidth="1"/>
    <col min="13319" max="13319" width="17.140625" style="2" customWidth="1"/>
    <col min="13320" max="13320" width="15.28515625" style="2" customWidth="1"/>
    <col min="13321" max="13321" width="12.7109375" style="2" customWidth="1"/>
    <col min="13322" max="13322" width="15.140625" style="2" customWidth="1"/>
    <col min="13323" max="13323" width="15.28515625" style="2" customWidth="1"/>
    <col min="13324" max="13324" width="23.85546875" style="2" customWidth="1"/>
    <col min="13325" max="13325" width="25.5703125" style="2" customWidth="1"/>
    <col min="13326" max="13326" width="20.5703125" style="2" customWidth="1"/>
    <col min="13327" max="13327" width="16.7109375" style="2" customWidth="1"/>
    <col min="13328" max="13328" width="16" style="2"/>
    <col min="13329" max="13329" width="12.140625" style="2" customWidth="1"/>
    <col min="13330" max="13330" width="4.42578125" style="2" customWidth="1"/>
    <col min="13331" max="13331" width="34.85546875" style="2" customWidth="1"/>
    <col min="13332" max="13568" width="16" style="2"/>
    <col min="13569" max="13569" width="21.42578125" style="2" customWidth="1"/>
    <col min="13570" max="13570" width="23.5703125" style="2" customWidth="1"/>
    <col min="13571" max="13571" width="15" style="2" customWidth="1"/>
    <col min="13572" max="13572" width="15.140625" style="2" customWidth="1"/>
    <col min="13573" max="13573" width="16" style="2" customWidth="1"/>
    <col min="13574" max="13574" width="16.140625" style="2" customWidth="1"/>
    <col min="13575" max="13575" width="17.140625" style="2" customWidth="1"/>
    <col min="13576" max="13576" width="15.28515625" style="2" customWidth="1"/>
    <col min="13577" max="13577" width="12.7109375" style="2" customWidth="1"/>
    <col min="13578" max="13578" width="15.140625" style="2" customWidth="1"/>
    <col min="13579" max="13579" width="15.28515625" style="2" customWidth="1"/>
    <col min="13580" max="13580" width="23.85546875" style="2" customWidth="1"/>
    <col min="13581" max="13581" width="25.5703125" style="2" customWidth="1"/>
    <col min="13582" max="13582" width="20.5703125" style="2" customWidth="1"/>
    <col min="13583" max="13583" width="16.7109375" style="2" customWidth="1"/>
    <col min="13584" max="13584" width="16" style="2"/>
    <col min="13585" max="13585" width="12.140625" style="2" customWidth="1"/>
    <col min="13586" max="13586" width="4.42578125" style="2" customWidth="1"/>
    <col min="13587" max="13587" width="34.85546875" style="2" customWidth="1"/>
    <col min="13588" max="13824" width="16" style="2"/>
    <col min="13825" max="13825" width="21.42578125" style="2" customWidth="1"/>
    <col min="13826" max="13826" width="23.5703125" style="2" customWidth="1"/>
    <col min="13827" max="13827" width="15" style="2" customWidth="1"/>
    <col min="13828" max="13828" width="15.140625" style="2" customWidth="1"/>
    <col min="13829" max="13829" width="16" style="2" customWidth="1"/>
    <col min="13830" max="13830" width="16.140625" style="2" customWidth="1"/>
    <col min="13831" max="13831" width="17.140625" style="2" customWidth="1"/>
    <col min="13832" max="13832" width="15.28515625" style="2" customWidth="1"/>
    <col min="13833" max="13833" width="12.7109375" style="2" customWidth="1"/>
    <col min="13834" max="13834" width="15.140625" style="2" customWidth="1"/>
    <col min="13835" max="13835" width="15.28515625" style="2" customWidth="1"/>
    <col min="13836" max="13836" width="23.85546875" style="2" customWidth="1"/>
    <col min="13837" max="13837" width="25.5703125" style="2" customWidth="1"/>
    <col min="13838" max="13838" width="20.5703125" style="2" customWidth="1"/>
    <col min="13839" max="13839" width="16.7109375" style="2" customWidth="1"/>
    <col min="13840" max="13840" width="16" style="2"/>
    <col min="13841" max="13841" width="12.140625" style="2" customWidth="1"/>
    <col min="13842" max="13842" width="4.42578125" style="2" customWidth="1"/>
    <col min="13843" max="13843" width="34.85546875" style="2" customWidth="1"/>
    <col min="13844" max="14080" width="16" style="2"/>
    <col min="14081" max="14081" width="21.42578125" style="2" customWidth="1"/>
    <col min="14082" max="14082" width="23.5703125" style="2" customWidth="1"/>
    <col min="14083" max="14083" width="15" style="2" customWidth="1"/>
    <col min="14084" max="14084" width="15.140625" style="2" customWidth="1"/>
    <col min="14085" max="14085" width="16" style="2" customWidth="1"/>
    <col min="14086" max="14086" width="16.140625" style="2" customWidth="1"/>
    <col min="14087" max="14087" width="17.140625" style="2" customWidth="1"/>
    <col min="14088" max="14088" width="15.28515625" style="2" customWidth="1"/>
    <col min="14089" max="14089" width="12.7109375" style="2" customWidth="1"/>
    <col min="14090" max="14090" width="15.140625" style="2" customWidth="1"/>
    <col min="14091" max="14091" width="15.28515625" style="2" customWidth="1"/>
    <col min="14092" max="14092" width="23.85546875" style="2" customWidth="1"/>
    <col min="14093" max="14093" width="25.5703125" style="2" customWidth="1"/>
    <col min="14094" max="14094" width="20.5703125" style="2" customWidth="1"/>
    <col min="14095" max="14095" width="16.7109375" style="2" customWidth="1"/>
    <col min="14096" max="14096" width="16" style="2"/>
    <col min="14097" max="14097" width="12.140625" style="2" customWidth="1"/>
    <col min="14098" max="14098" width="4.42578125" style="2" customWidth="1"/>
    <col min="14099" max="14099" width="34.85546875" style="2" customWidth="1"/>
    <col min="14100" max="14336" width="16" style="2"/>
    <col min="14337" max="14337" width="21.42578125" style="2" customWidth="1"/>
    <col min="14338" max="14338" width="23.5703125" style="2" customWidth="1"/>
    <col min="14339" max="14339" width="15" style="2" customWidth="1"/>
    <col min="14340" max="14340" width="15.140625" style="2" customWidth="1"/>
    <col min="14341" max="14341" width="16" style="2" customWidth="1"/>
    <col min="14342" max="14342" width="16.140625" style="2" customWidth="1"/>
    <col min="14343" max="14343" width="17.140625" style="2" customWidth="1"/>
    <col min="14344" max="14344" width="15.28515625" style="2" customWidth="1"/>
    <col min="14345" max="14345" width="12.7109375" style="2" customWidth="1"/>
    <col min="14346" max="14346" width="15.140625" style="2" customWidth="1"/>
    <col min="14347" max="14347" width="15.28515625" style="2" customWidth="1"/>
    <col min="14348" max="14348" width="23.85546875" style="2" customWidth="1"/>
    <col min="14349" max="14349" width="25.5703125" style="2" customWidth="1"/>
    <col min="14350" max="14350" width="20.5703125" style="2" customWidth="1"/>
    <col min="14351" max="14351" width="16.7109375" style="2" customWidth="1"/>
    <col min="14352" max="14352" width="16" style="2"/>
    <col min="14353" max="14353" width="12.140625" style="2" customWidth="1"/>
    <col min="14354" max="14354" width="4.42578125" style="2" customWidth="1"/>
    <col min="14355" max="14355" width="34.85546875" style="2" customWidth="1"/>
    <col min="14356" max="14592" width="16" style="2"/>
    <col min="14593" max="14593" width="21.42578125" style="2" customWidth="1"/>
    <col min="14594" max="14594" width="23.5703125" style="2" customWidth="1"/>
    <col min="14595" max="14595" width="15" style="2" customWidth="1"/>
    <col min="14596" max="14596" width="15.140625" style="2" customWidth="1"/>
    <col min="14597" max="14597" width="16" style="2" customWidth="1"/>
    <col min="14598" max="14598" width="16.140625" style="2" customWidth="1"/>
    <col min="14599" max="14599" width="17.140625" style="2" customWidth="1"/>
    <col min="14600" max="14600" width="15.28515625" style="2" customWidth="1"/>
    <col min="14601" max="14601" width="12.7109375" style="2" customWidth="1"/>
    <col min="14602" max="14602" width="15.140625" style="2" customWidth="1"/>
    <col min="14603" max="14603" width="15.28515625" style="2" customWidth="1"/>
    <col min="14604" max="14604" width="23.85546875" style="2" customWidth="1"/>
    <col min="14605" max="14605" width="25.5703125" style="2" customWidth="1"/>
    <col min="14606" max="14606" width="20.5703125" style="2" customWidth="1"/>
    <col min="14607" max="14607" width="16.7109375" style="2" customWidth="1"/>
    <col min="14608" max="14608" width="16" style="2"/>
    <col min="14609" max="14609" width="12.140625" style="2" customWidth="1"/>
    <col min="14610" max="14610" width="4.42578125" style="2" customWidth="1"/>
    <col min="14611" max="14611" width="34.85546875" style="2" customWidth="1"/>
    <col min="14612" max="14848" width="16" style="2"/>
    <col min="14849" max="14849" width="21.42578125" style="2" customWidth="1"/>
    <col min="14850" max="14850" width="23.5703125" style="2" customWidth="1"/>
    <col min="14851" max="14851" width="15" style="2" customWidth="1"/>
    <col min="14852" max="14852" width="15.140625" style="2" customWidth="1"/>
    <col min="14853" max="14853" width="16" style="2" customWidth="1"/>
    <col min="14854" max="14854" width="16.140625" style="2" customWidth="1"/>
    <col min="14855" max="14855" width="17.140625" style="2" customWidth="1"/>
    <col min="14856" max="14856" width="15.28515625" style="2" customWidth="1"/>
    <col min="14857" max="14857" width="12.7109375" style="2" customWidth="1"/>
    <col min="14858" max="14858" width="15.140625" style="2" customWidth="1"/>
    <col min="14859" max="14859" width="15.28515625" style="2" customWidth="1"/>
    <col min="14860" max="14860" width="23.85546875" style="2" customWidth="1"/>
    <col min="14861" max="14861" width="25.5703125" style="2" customWidth="1"/>
    <col min="14862" max="14862" width="20.5703125" style="2" customWidth="1"/>
    <col min="14863" max="14863" width="16.7109375" style="2" customWidth="1"/>
    <col min="14864" max="14864" width="16" style="2"/>
    <col min="14865" max="14865" width="12.140625" style="2" customWidth="1"/>
    <col min="14866" max="14866" width="4.42578125" style="2" customWidth="1"/>
    <col min="14867" max="14867" width="34.85546875" style="2" customWidth="1"/>
    <col min="14868" max="15104" width="16" style="2"/>
    <col min="15105" max="15105" width="21.42578125" style="2" customWidth="1"/>
    <col min="15106" max="15106" width="23.5703125" style="2" customWidth="1"/>
    <col min="15107" max="15107" width="15" style="2" customWidth="1"/>
    <col min="15108" max="15108" width="15.140625" style="2" customWidth="1"/>
    <col min="15109" max="15109" width="16" style="2" customWidth="1"/>
    <col min="15110" max="15110" width="16.140625" style="2" customWidth="1"/>
    <col min="15111" max="15111" width="17.140625" style="2" customWidth="1"/>
    <col min="15112" max="15112" width="15.28515625" style="2" customWidth="1"/>
    <col min="15113" max="15113" width="12.7109375" style="2" customWidth="1"/>
    <col min="15114" max="15114" width="15.140625" style="2" customWidth="1"/>
    <col min="15115" max="15115" width="15.28515625" style="2" customWidth="1"/>
    <col min="15116" max="15116" width="23.85546875" style="2" customWidth="1"/>
    <col min="15117" max="15117" width="25.5703125" style="2" customWidth="1"/>
    <col min="15118" max="15118" width="20.5703125" style="2" customWidth="1"/>
    <col min="15119" max="15119" width="16.7109375" style="2" customWidth="1"/>
    <col min="15120" max="15120" width="16" style="2"/>
    <col min="15121" max="15121" width="12.140625" style="2" customWidth="1"/>
    <col min="15122" max="15122" width="4.42578125" style="2" customWidth="1"/>
    <col min="15123" max="15123" width="34.85546875" style="2" customWidth="1"/>
    <col min="15124" max="15360" width="16" style="2"/>
    <col min="15361" max="15361" width="21.42578125" style="2" customWidth="1"/>
    <col min="15362" max="15362" width="23.5703125" style="2" customWidth="1"/>
    <col min="15363" max="15363" width="15" style="2" customWidth="1"/>
    <col min="15364" max="15364" width="15.140625" style="2" customWidth="1"/>
    <col min="15365" max="15365" width="16" style="2" customWidth="1"/>
    <col min="15366" max="15366" width="16.140625" style="2" customWidth="1"/>
    <col min="15367" max="15367" width="17.140625" style="2" customWidth="1"/>
    <col min="15368" max="15368" width="15.28515625" style="2" customWidth="1"/>
    <col min="15369" max="15369" width="12.7109375" style="2" customWidth="1"/>
    <col min="15370" max="15370" width="15.140625" style="2" customWidth="1"/>
    <col min="15371" max="15371" width="15.28515625" style="2" customWidth="1"/>
    <col min="15372" max="15372" width="23.85546875" style="2" customWidth="1"/>
    <col min="15373" max="15373" width="25.5703125" style="2" customWidth="1"/>
    <col min="15374" max="15374" width="20.5703125" style="2" customWidth="1"/>
    <col min="15375" max="15375" width="16.7109375" style="2" customWidth="1"/>
    <col min="15376" max="15376" width="16" style="2"/>
    <col min="15377" max="15377" width="12.140625" style="2" customWidth="1"/>
    <col min="15378" max="15378" width="4.42578125" style="2" customWidth="1"/>
    <col min="15379" max="15379" width="34.85546875" style="2" customWidth="1"/>
    <col min="15380" max="15616" width="16" style="2"/>
    <col min="15617" max="15617" width="21.42578125" style="2" customWidth="1"/>
    <col min="15618" max="15618" width="23.5703125" style="2" customWidth="1"/>
    <col min="15619" max="15619" width="15" style="2" customWidth="1"/>
    <col min="15620" max="15620" width="15.140625" style="2" customWidth="1"/>
    <col min="15621" max="15621" width="16" style="2" customWidth="1"/>
    <col min="15622" max="15622" width="16.140625" style="2" customWidth="1"/>
    <col min="15623" max="15623" width="17.140625" style="2" customWidth="1"/>
    <col min="15624" max="15624" width="15.28515625" style="2" customWidth="1"/>
    <col min="15625" max="15625" width="12.7109375" style="2" customWidth="1"/>
    <col min="15626" max="15626" width="15.140625" style="2" customWidth="1"/>
    <col min="15627" max="15627" width="15.28515625" style="2" customWidth="1"/>
    <col min="15628" max="15628" width="23.85546875" style="2" customWidth="1"/>
    <col min="15629" max="15629" width="25.5703125" style="2" customWidth="1"/>
    <col min="15630" max="15630" width="20.5703125" style="2" customWidth="1"/>
    <col min="15631" max="15631" width="16.7109375" style="2" customWidth="1"/>
    <col min="15632" max="15632" width="16" style="2"/>
    <col min="15633" max="15633" width="12.140625" style="2" customWidth="1"/>
    <col min="15634" max="15634" width="4.42578125" style="2" customWidth="1"/>
    <col min="15635" max="15635" width="34.85546875" style="2" customWidth="1"/>
    <col min="15636" max="15872" width="16" style="2"/>
    <col min="15873" max="15873" width="21.42578125" style="2" customWidth="1"/>
    <col min="15874" max="15874" width="23.5703125" style="2" customWidth="1"/>
    <col min="15875" max="15875" width="15" style="2" customWidth="1"/>
    <col min="15876" max="15876" width="15.140625" style="2" customWidth="1"/>
    <col min="15877" max="15877" width="16" style="2" customWidth="1"/>
    <col min="15878" max="15878" width="16.140625" style="2" customWidth="1"/>
    <col min="15879" max="15879" width="17.140625" style="2" customWidth="1"/>
    <col min="15880" max="15880" width="15.28515625" style="2" customWidth="1"/>
    <col min="15881" max="15881" width="12.7109375" style="2" customWidth="1"/>
    <col min="15882" max="15882" width="15.140625" style="2" customWidth="1"/>
    <col min="15883" max="15883" width="15.28515625" style="2" customWidth="1"/>
    <col min="15884" max="15884" width="23.85546875" style="2" customWidth="1"/>
    <col min="15885" max="15885" width="25.5703125" style="2" customWidth="1"/>
    <col min="15886" max="15886" width="20.5703125" style="2" customWidth="1"/>
    <col min="15887" max="15887" width="16.7109375" style="2" customWidth="1"/>
    <col min="15888" max="15888" width="16" style="2"/>
    <col min="15889" max="15889" width="12.140625" style="2" customWidth="1"/>
    <col min="15890" max="15890" width="4.42578125" style="2" customWidth="1"/>
    <col min="15891" max="15891" width="34.85546875" style="2" customWidth="1"/>
    <col min="15892" max="16128" width="16" style="2"/>
    <col min="16129" max="16129" width="21.42578125" style="2" customWidth="1"/>
    <col min="16130" max="16130" width="23.5703125" style="2" customWidth="1"/>
    <col min="16131" max="16131" width="15" style="2" customWidth="1"/>
    <col min="16132" max="16132" width="15.140625" style="2" customWidth="1"/>
    <col min="16133" max="16133" width="16" style="2" customWidth="1"/>
    <col min="16134" max="16134" width="16.140625" style="2" customWidth="1"/>
    <col min="16135" max="16135" width="17.140625" style="2" customWidth="1"/>
    <col min="16136" max="16136" width="15.28515625" style="2" customWidth="1"/>
    <col min="16137" max="16137" width="12.7109375" style="2" customWidth="1"/>
    <col min="16138" max="16138" width="15.140625" style="2" customWidth="1"/>
    <col min="16139" max="16139" width="15.28515625" style="2" customWidth="1"/>
    <col min="16140" max="16140" width="23.85546875" style="2" customWidth="1"/>
    <col min="16141" max="16141" width="25.5703125" style="2" customWidth="1"/>
    <col min="16142" max="16142" width="20.5703125" style="2" customWidth="1"/>
    <col min="16143" max="16143" width="16.7109375" style="2" customWidth="1"/>
    <col min="16144" max="16144" width="16" style="2"/>
    <col min="16145" max="16145" width="12.140625" style="2" customWidth="1"/>
    <col min="16146" max="16146" width="4.42578125" style="2" customWidth="1"/>
    <col min="16147" max="16147" width="34.85546875" style="2" customWidth="1"/>
    <col min="16148" max="16384" width="16" style="2"/>
  </cols>
  <sheetData>
    <row r="1" spans="1:28" ht="15">
      <c r="S1" s="39"/>
      <c r="T1" s="1"/>
      <c r="U1" s="1"/>
      <c r="V1" s="1"/>
      <c r="W1" s="1"/>
      <c r="X1" s="1"/>
      <c r="Y1" s="1"/>
      <c r="Z1" s="1"/>
      <c r="AA1" s="1"/>
      <c r="AB1" s="1"/>
    </row>
    <row r="2" spans="1:28" ht="20.25" customHeight="1">
      <c r="A2" s="263" t="s">
        <v>238</v>
      </c>
      <c r="B2" s="264" t="str">
        <f>A4</f>
        <v>Hipoglucemia grave  [expresadas en número de hipoglucemias graves, y no en número de pacientes con hipoglucemia gave]</v>
      </c>
      <c r="C2" s="265"/>
      <c r="D2" s="266"/>
      <c r="E2" s="266"/>
      <c r="F2" s="266"/>
      <c r="G2" s="266"/>
      <c r="O2" s="267"/>
      <c r="P2" s="268"/>
      <c r="Q2" s="10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5.5">
      <c r="A3" s="71" t="s">
        <v>155</v>
      </c>
      <c r="B3" s="405" t="s">
        <v>156</v>
      </c>
      <c r="C3" s="405"/>
      <c r="D3" s="405"/>
      <c r="E3" s="405" t="s">
        <v>157</v>
      </c>
      <c r="F3" s="405"/>
      <c r="G3" s="405"/>
      <c r="H3" s="269" t="s">
        <v>128</v>
      </c>
      <c r="I3" s="406" t="s">
        <v>129</v>
      </c>
      <c r="J3" s="407"/>
      <c r="K3" s="408"/>
      <c r="L3" s="406" t="s">
        <v>130</v>
      </c>
      <c r="M3" s="408"/>
      <c r="N3" s="270" t="s">
        <v>131</v>
      </c>
      <c r="O3" s="268"/>
      <c r="T3" s="1"/>
      <c r="U3" s="1"/>
      <c r="W3" s="1"/>
      <c r="X3" s="1"/>
      <c r="Y3" s="1"/>
      <c r="Z3" s="1"/>
      <c r="AA3" s="1"/>
      <c r="AB3" s="1"/>
    </row>
    <row r="4" spans="1:28" ht="76.5">
      <c r="A4" s="72" t="s">
        <v>231</v>
      </c>
      <c r="B4" s="73" t="s">
        <v>158</v>
      </c>
      <c r="C4" s="73" t="s">
        <v>159</v>
      </c>
      <c r="D4" s="73" t="s">
        <v>1</v>
      </c>
      <c r="E4" s="73" t="s">
        <v>158</v>
      </c>
      <c r="F4" s="73" t="s">
        <v>159</v>
      </c>
      <c r="G4" s="73" t="s">
        <v>1</v>
      </c>
      <c r="H4" s="271" t="s">
        <v>133</v>
      </c>
      <c r="I4" s="272" t="s">
        <v>239</v>
      </c>
      <c r="J4" s="273" t="s">
        <v>240</v>
      </c>
      <c r="K4" s="272" t="s">
        <v>1</v>
      </c>
      <c r="L4" s="274" t="s">
        <v>239</v>
      </c>
      <c r="M4" s="275" t="s">
        <v>241</v>
      </c>
      <c r="N4" s="276" t="s">
        <v>133</v>
      </c>
      <c r="O4" s="268"/>
      <c r="P4" s="2" t="s">
        <v>134</v>
      </c>
      <c r="Q4" s="2" t="s">
        <v>134</v>
      </c>
      <c r="T4" s="1"/>
      <c r="U4" s="1"/>
      <c r="W4" s="1"/>
      <c r="X4" s="1"/>
      <c r="Y4" s="1"/>
      <c r="Z4" s="1"/>
      <c r="AA4" s="1"/>
      <c r="AB4" s="1"/>
    </row>
    <row r="5" spans="1:28">
      <c r="A5" s="106" t="s">
        <v>3</v>
      </c>
      <c r="B5" s="74">
        <v>538</v>
      </c>
      <c r="C5" s="75">
        <f>D5-B5</f>
        <v>4590</v>
      </c>
      <c r="D5" s="76">
        <v>5128</v>
      </c>
      <c r="E5" s="74">
        <v>179</v>
      </c>
      <c r="F5" s="75">
        <f>G5-E5</f>
        <v>4944</v>
      </c>
      <c r="G5" s="76">
        <v>5123</v>
      </c>
      <c r="H5" s="278">
        <v>3.8</v>
      </c>
      <c r="I5" s="279">
        <f t="shared" ref="I5:I9" si="0">D5*H5</f>
        <v>19486.399999999998</v>
      </c>
      <c r="J5" s="279">
        <f t="shared" ref="J5:J9" si="1">G5*H5</f>
        <v>19467.399999999998</v>
      </c>
      <c r="K5" s="279">
        <f>I5+J5</f>
        <v>38953.799999999996</v>
      </c>
      <c r="L5" s="280">
        <f t="shared" ref="L5:L10" si="2">B5/I5</f>
        <v>2.7608999096805982E-2</v>
      </c>
      <c r="M5" s="280">
        <f t="shared" ref="M5:M10" si="3">E5/J5</f>
        <v>9.1948590977737159E-3</v>
      </c>
      <c r="N5" s="281">
        <v>62</v>
      </c>
      <c r="O5" s="282">
        <f>N5*(D5+G5)</f>
        <v>635562</v>
      </c>
      <c r="P5" s="283" t="str">
        <f t="shared" ref="P5:P10" si="4">CONCATENATE(B5," ",$P$4," ",D5)</f>
        <v>538 / 5128</v>
      </c>
      <c r="Q5" s="283" t="str">
        <f t="shared" ref="Q5:Q10" si="5">CONCATENATE(E5," ",$Q$4," ",G5)</f>
        <v>179 / 5123</v>
      </c>
      <c r="T5" s="1"/>
      <c r="U5" s="1"/>
      <c r="W5" s="1"/>
      <c r="X5" s="1"/>
      <c r="Y5" s="1"/>
      <c r="Z5" s="1"/>
      <c r="AA5" s="1"/>
      <c r="AB5" s="1"/>
    </row>
    <row r="6" spans="1:28">
      <c r="A6" s="106" t="s">
        <v>4</v>
      </c>
      <c r="B6" s="74">
        <v>150</v>
      </c>
      <c r="C6" s="75">
        <f t="shared" ref="C6:C8" si="6">D6-B6</f>
        <v>5421</v>
      </c>
      <c r="D6" s="76">
        <v>5571</v>
      </c>
      <c r="E6" s="74">
        <v>81</v>
      </c>
      <c r="F6" s="75">
        <f t="shared" ref="F6:F9" si="7">G6-E6</f>
        <v>5488</v>
      </c>
      <c r="G6" s="76">
        <v>5569</v>
      </c>
      <c r="H6" s="278">
        <v>5</v>
      </c>
      <c r="I6" s="279">
        <f t="shared" si="0"/>
        <v>27855</v>
      </c>
      <c r="J6" s="279">
        <f t="shared" si="1"/>
        <v>27845</v>
      </c>
      <c r="K6" s="279">
        <f t="shared" ref="K6:K9" si="8">I6+J6</f>
        <v>55700</v>
      </c>
      <c r="L6" s="280">
        <f t="shared" si="2"/>
        <v>5.3850296176628969E-3</v>
      </c>
      <c r="M6" s="280">
        <f t="shared" si="3"/>
        <v>2.9089603160351949E-3</v>
      </c>
      <c r="N6" s="281">
        <v>66</v>
      </c>
      <c r="O6" s="282">
        <f t="shared" ref="O6:O9" si="9">N6*(D6+G6)</f>
        <v>735240</v>
      </c>
      <c r="P6" s="283" t="str">
        <f t="shared" si="4"/>
        <v>150 / 5571</v>
      </c>
      <c r="Q6" s="283" t="str">
        <f t="shared" si="5"/>
        <v>81 / 5569</v>
      </c>
      <c r="T6" s="1"/>
      <c r="U6" s="1"/>
      <c r="W6" s="1"/>
      <c r="X6" s="1"/>
      <c r="Y6" s="1"/>
      <c r="Z6" s="1"/>
      <c r="AA6" s="1"/>
      <c r="AB6" s="1"/>
    </row>
    <row r="7" spans="1:28">
      <c r="A7" s="106" t="s">
        <v>259</v>
      </c>
      <c r="B7" s="74">
        <v>19</v>
      </c>
      <c r="C7" s="75">
        <f t="shared" si="6"/>
        <v>2586</v>
      </c>
      <c r="D7" s="76">
        <v>2605</v>
      </c>
      <c r="E7" s="74">
        <v>11</v>
      </c>
      <c r="F7" s="75">
        <f t="shared" si="7"/>
        <v>2622</v>
      </c>
      <c r="G7" s="76">
        <v>2633</v>
      </c>
      <c r="H7" s="278">
        <v>2.8</v>
      </c>
      <c r="I7" s="279">
        <f t="shared" si="0"/>
        <v>7293.9999999999991</v>
      </c>
      <c r="J7" s="279">
        <f t="shared" si="1"/>
        <v>7372.4</v>
      </c>
      <c r="K7" s="279">
        <f t="shared" si="8"/>
        <v>14666.399999999998</v>
      </c>
      <c r="L7" s="280">
        <f t="shared" si="2"/>
        <v>2.6048807238826435E-3</v>
      </c>
      <c r="M7" s="280">
        <f t="shared" si="3"/>
        <v>1.4920514350821984E-3</v>
      </c>
      <c r="N7" s="281">
        <v>62</v>
      </c>
      <c r="O7" s="282">
        <f t="shared" si="9"/>
        <v>324756</v>
      </c>
      <c r="P7" s="283" t="str">
        <f t="shared" si="4"/>
        <v>19 / 2605</v>
      </c>
      <c r="Q7" s="283" t="str">
        <f t="shared" si="5"/>
        <v>11 / 2633</v>
      </c>
      <c r="T7" s="1"/>
      <c r="U7" s="1"/>
      <c r="W7" s="1"/>
      <c r="X7" s="1"/>
      <c r="Y7" s="1"/>
      <c r="Z7" s="1"/>
      <c r="AA7" s="1"/>
      <c r="AB7" s="1"/>
    </row>
    <row r="8" spans="1:28">
      <c r="A8" s="107" t="s">
        <v>5</v>
      </c>
      <c r="B8" s="74">
        <v>419</v>
      </c>
      <c r="C8" s="75">
        <f t="shared" si="6"/>
        <v>2652</v>
      </c>
      <c r="D8" s="76">
        <v>3071</v>
      </c>
      <c r="E8" s="74">
        <v>111</v>
      </c>
      <c r="F8" s="75">
        <f t="shared" si="7"/>
        <v>1438</v>
      </c>
      <c r="G8" s="76">
        <v>1549</v>
      </c>
      <c r="H8" s="278">
        <v>10</v>
      </c>
      <c r="I8" s="279">
        <f t="shared" si="0"/>
        <v>30710</v>
      </c>
      <c r="J8" s="279">
        <f t="shared" si="1"/>
        <v>15490</v>
      </c>
      <c r="K8" s="279">
        <f t="shared" si="8"/>
        <v>46200</v>
      </c>
      <c r="L8" s="280">
        <f t="shared" si="2"/>
        <v>1.3643764246173884E-2</v>
      </c>
      <c r="M8" s="280">
        <f t="shared" si="3"/>
        <v>7.1659134925758554E-3</v>
      </c>
      <c r="N8" s="281">
        <v>53</v>
      </c>
      <c r="O8" s="282">
        <f t="shared" si="9"/>
        <v>244860</v>
      </c>
      <c r="P8" s="283" t="str">
        <f t="shared" si="4"/>
        <v>419 / 3071</v>
      </c>
      <c r="Q8" s="283" t="str">
        <f t="shared" si="5"/>
        <v>111 / 1549</v>
      </c>
      <c r="T8" s="1"/>
      <c r="U8" s="1"/>
      <c r="W8" s="1"/>
      <c r="X8" s="1"/>
      <c r="Y8" s="1"/>
      <c r="Z8" s="1"/>
      <c r="AA8" s="1"/>
      <c r="AB8" s="1"/>
    </row>
    <row r="9" spans="1:28">
      <c r="A9" s="107" t="s">
        <v>6</v>
      </c>
      <c r="B9" s="74">
        <v>72</v>
      </c>
      <c r="C9" s="75">
        <v>892</v>
      </c>
      <c r="D9" s="76">
        <v>892</v>
      </c>
      <c r="E9" s="74">
        <v>28</v>
      </c>
      <c r="F9" s="75">
        <f t="shared" si="7"/>
        <v>871</v>
      </c>
      <c r="G9" s="76">
        <v>899</v>
      </c>
      <c r="H9" s="278">
        <v>5.6</v>
      </c>
      <c r="I9" s="279">
        <f t="shared" si="0"/>
        <v>4995.2</v>
      </c>
      <c r="J9" s="279">
        <f t="shared" si="1"/>
        <v>5034.3999999999996</v>
      </c>
      <c r="K9" s="279">
        <f t="shared" si="8"/>
        <v>10029.599999999999</v>
      </c>
      <c r="L9" s="280">
        <f t="shared" si="2"/>
        <v>1.4413837283792441E-2</v>
      </c>
      <c r="M9" s="280">
        <f t="shared" si="3"/>
        <v>5.5617352614015575E-3</v>
      </c>
      <c r="N9" s="281">
        <v>60</v>
      </c>
      <c r="O9" s="282">
        <f t="shared" si="9"/>
        <v>107460</v>
      </c>
      <c r="P9" s="283" t="str">
        <f t="shared" si="4"/>
        <v>72 / 892</v>
      </c>
      <c r="Q9" s="283" t="str">
        <f t="shared" si="5"/>
        <v>28 / 899</v>
      </c>
      <c r="T9" s="1"/>
      <c r="U9" s="1"/>
      <c r="W9" s="1"/>
      <c r="X9" s="1"/>
      <c r="Y9" s="1"/>
      <c r="Z9" s="1"/>
      <c r="AA9" s="1"/>
      <c r="AB9" s="1"/>
    </row>
    <row r="10" spans="1:28">
      <c r="A10" s="77">
        <f>COUNT(B5:B9)</f>
        <v>5</v>
      </c>
      <c r="B10" s="359">
        <f t="shared" ref="B10:G10" si="10">SUM(B5:B9)</f>
        <v>1198</v>
      </c>
      <c r="C10" s="359">
        <f t="shared" si="10"/>
        <v>16141</v>
      </c>
      <c r="D10" s="359">
        <f t="shared" si="10"/>
        <v>17267</v>
      </c>
      <c r="E10" s="359">
        <f t="shared" si="10"/>
        <v>410</v>
      </c>
      <c r="F10" s="359">
        <f t="shared" si="10"/>
        <v>15363</v>
      </c>
      <c r="G10" s="359">
        <f t="shared" si="10"/>
        <v>15773</v>
      </c>
      <c r="H10" s="284">
        <f>K10/(D10+G10)</f>
        <v>5.0105871670702173</v>
      </c>
      <c r="I10" s="285">
        <f>SUM(I5:I9)</f>
        <v>90340.599999999991</v>
      </c>
      <c r="J10" s="285">
        <f>SUM(J5:J9)</f>
        <v>75209.199999999983</v>
      </c>
      <c r="K10" s="285">
        <f>SUM(K5:K9)</f>
        <v>165549.79999999999</v>
      </c>
      <c r="L10" s="286">
        <f t="shared" si="2"/>
        <v>1.3260925873859596E-2</v>
      </c>
      <c r="M10" s="286">
        <f t="shared" si="3"/>
        <v>5.4514607255495354E-3</v>
      </c>
      <c r="N10" s="287">
        <f>O10/(D10+G10)</f>
        <v>61.981779661016951</v>
      </c>
      <c r="O10" s="288">
        <f>SUM(O5:O9)</f>
        <v>2047878</v>
      </c>
      <c r="P10" s="289" t="str">
        <f t="shared" si="4"/>
        <v>1198 / 17267</v>
      </c>
      <c r="Q10" s="289" t="str">
        <f t="shared" si="5"/>
        <v>410 / 15773</v>
      </c>
      <c r="T10" s="1"/>
      <c r="U10" s="1"/>
      <c r="W10" s="1"/>
      <c r="X10" s="1"/>
      <c r="Y10" s="1"/>
      <c r="Z10" s="1"/>
      <c r="AA10" s="1"/>
      <c r="AB10" s="1"/>
    </row>
    <row r="11" spans="1:28" ht="15.75" thickBot="1">
      <c r="B11" s="2"/>
      <c r="C11" s="2"/>
      <c r="E11" s="4"/>
      <c r="F11" s="3"/>
      <c r="S11" s="39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thickBot="1">
      <c r="A12" s="1"/>
      <c r="B12" s="83" t="s">
        <v>117</v>
      </c>
      <c r="C12" s="290">
        <v>2.73150191532258E-2</v>
      </c>
      <c r="D12" s="409" t="s">
        <v>118</v>
      </c>
      <c r="E12" s="410"/>
      <c r="F12" s="411"/>
      <c r="S12" s="39"/>
      <c r="T12" s="1"/>
      <c r="U12" s="1"/>
      <c r="V12" s="1"/>
      <c r="W12" s="1"/>
      <c r="X12" s="1"/>
      <c r="Y12" s="1"/>
      <c r="Z12" s="1"/>
      <c r="AA12" s="1"/>
      <c r="AB12" s="1"/>
    </row>
    <row r="13" spans="1:28" ht="26.25" thickBot="1">
      <c r="A13" s="291">
        <f>I40</f>
        <v>5.4514607255495354E-3</v>
      </c>
      <c r="B13" s="292" t="s">
        <v>160</v>
      </c>
      <c r="C13" s="23"/>
      <c r="D13" s="21" t="s">
        <v>119</v>
      </c>
      <c r="E13" s="22" t="s">
        <v>161</v>
      </c>
      <c r="F13" s="21" t="s">
        <v>162</v>
      </c>
      <c r="S13" s="39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thickBot="1">
      <c r="A14" s="293">
        <f>E40</f>
        <v>5.0105871670702173</v>
      </c>
      <c r="B14" s="294" t="s">
        <v>163</v>
      </c>
      <c r="C14" s="23"/>
      <c r="D14" s="295">
        <v>2.23</v>
      </c>
      <c r="E14" s="296">
        <v>1.72</v>
      </c>
      <c r="F14" s="297">
        <v>2.89</v>
      </c>
      <c r="G14" s="23" t="s">
        <v>111</v>
      </c>
      <c r="S14" s="39"/>
      <c r="T14" s="1"/>
      <c r="U14" s="1"/>
      <c r="V14" s="1"/>
      <c r="W14" s="1"/>
      <c r="X14" s="1"/>
      <c r="Y14" s="1"/>
      <c r="Z14" s="1"/>
      <c r="AA14" s="1"/>
      <c r="AB14" s="1"/>
    </row>
    <row r="15" spans="1:28" ht="15" hidden="1">
      <c r="A15" s="85"/>
      <c r="B15" s="84"/>
      <c r="C15" s="1"/>
      <c r="D15" s="1"/>
      <c r="E15" s="1"/>
      <c r="F15" s="1"/>
      <c r="G15" s="1"/>
      <c r="S15" s="39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hidden="1" thickBot="1">
      <c r="A16" s="85"/>
      <c r="B16" s="86"/>
      <c r="C16" s="24"/>
      <c r="D16" s="87">
        <f>C12*D14</f>
        <v>6.0912492711693529E-2</v>
      </c>
      <c r="E16" s="88">
        <f>C12*E14</f>
        <v>4.6981832943548373E-2</v>
      </c>
      <c r="F16" s="25">
        <f>C12*F14</f>
        <v>7.8940405352822568E-2</v>
      </c>
      <c r="G16" s="1"/>
      <c r="S16" s="39"/>
      <c r="T16" s="1"/>
      <c r="U16" s="1"/>
      <c r="V16" s="1"/>
      <c r="W16" s="1"/>
      <c r="X16" s="1"/>
      <c r="Y16" s="1"/>
      <c r="Z16" s="1"/>
      <c r="AA16" s="1"/>
      <c r="AB16" s="1"/>
    </row>
    <row r="17" spans="1:28" ht="15" hidden="1">
      <c r="A17" s="85"/>
      <c r="B17" s="84"/>
      <c r="C17" s="1"/>
      <c r="D17" s="1"/>
      <c r="E17" s="1"/>
      <c r="F17" s="1"/>
      <c r="G17" s="1"/>
      <c r="S17" s="39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hidden="1" thickBot="1">
      <c r="A18" s="85"/>
      <c r="B18" s="89"/>
      <c r="C18" s="90" t="s">
        <v>9</v>
      </c>
      <c r="D18" s="91">
        <f>C12-D16</f>
        <v>-3.3597473558467733E-2</v>
      </c>
      <c r="E18" s="92">
        <f>C12-F16</f>
        <v>-5.1625386199596765E-2</v>
      </c>
      <c r="F18" s="93">
        <f>C12-E16</f>
        <v>-1.9666813790322573E-2</v>
      </c>
      <c r="G18" s="1"/>
      <c r="S18" s="39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hidden="1" thickBot="1">
      <c r="A19" s="85"/>
      <c r="B19" s="94"/>
      <c r="C19" s="95" t="s">
        <v>10</v>
      </c>
      <c r="D19" s="96">
        <f>1/D18</f>
        <v>-29.764142778764541</v>
      </c>
      <c r="E19" s="97">
        <f>1/F18</f>
        <v>-50.847077247056099</v>
      </c>
      <c r="F19" s="98">
        <f>1/E18</f>
        <v>-19.370315141735652</v>
      </c>
      <c r="G19" s="1"/>
      <c r="S19" s="39"/>
      <c r="T19" s="1"/>
      <c r="U19" s="1"/>
      <c r="V19" s="1"/>
      <c r="W19" s="1"/>
      <c r="X19" s="1"/>
      <c r="Y19" s="1"/>
      <c r="Z19" s="1"/>
      <c r="AA19" s="1"/>
      <c r="AB19" s="1"/>
    </row>
    <row r="20" spans="1:28" ht="15" hidden="1">
      <c r="A20" s="85"/>
      <c r="B20" s="84"/>
      <c r="C20" s="23"/>
      <c r="D20" s="23"/>
      <c r="E20" s="23"/>
      <c r="F20" s="23"/>
      <c r="G20" s="1"/>
      <c r="S20" s="39"/>
      <c r="T20" s="1"/>
      <c r="U20" s="1"/>
      <c r="V20" s="1"/>
      <c r="W20" s="1"/>
      <c r="X20" s="1"/>
      <c r="Y20" s="1"/>
      <c r="Z20" s="1"/>
      <c r="AA20" s="1"/>
      <c r="AB20" s="1"/>
    </row>
    <row r="21" spans="1:28" ht="15" hidden="1">
      <c r="A21" s="85"/>
      <c r="B21" s="99" t="s">
        <v>120</v>
      </c>
      <c r="C21" s="27"/>
      <c r="D21" s="27"/>
      <c r="E21" s="28">
        <f>ROUND(D14,2)</f>
        <v>2.23</v>
      </c>
      <c r="F21" s="29">
        <f>ROUND(D18,4)</f>
        <v>-3.3599999999999998E-2</v>
      </c>
      <c r="G21" s="30">
        <f>ROUND(D19,0)</f>
        <v>-30</v>
      </c>
      <c r="S21" s="39"/>
      <c r="T21" s="1"/>
      <c r="U21" s="1"/>
      <c r="V21" s="1"/>
      <c r="W21" s="1"/>
      <c r="X21" s="1"/>
      <c r="Y21" s="1"/>
      <c r="Z21" s="1"/>
      <c r="AA21" s="1"/>
      <c r="AB21" s="1"/>
    </row>
    <row r="22" spans="1:28" ht="15" hidden="1">
      <c r="A22" s="85"/>
      <c r="B22" s="100" t="s">
        <v>121</v>
      </c>
      <c r="C22" s="101">
        <f>ROUND(D16,4)</f>
        <v>6.0900000000000003E-2</v>
      </c>
      <c r="D22" s="31">
        <f>ROUND(C12,4)</f>
        <v>2.7300000000000001E-2</v>
      </c>
      <c r="E22" s="32">
        <f>ROUND(E14,2)</f>
        <v>1.72</v>
      </c>
      <c r="F22" s="33">
        <f>ROUND(E18,4)</f>
        <v>-5.16E-2</v>
      </c>
      <c r="G22" s="34">
        <f>ROUND(E19,0)</f>
        <v>-51</v>
      </c>
      <c r="S22" s="39"/>
      <c r="T22" s="1"/>
      <c r="U22" s="1"/>
      <c r="V22" s="1"/>
      <c r="W22" s="1"/>
      <c r="X22" s="1"/>
      <c r="Y22" s="1"/>
      <c r="Z22" s="1"/>
      <c r="AA22" s="1"/>
      <c r="AB22" s="1"/>
    </row>
    <row r="23" spans="1:28" ht="15" hidden="1">
      <c r="A23" s="85"/>
      <c r="B23" s="100" t="s">
        <v>122</v>
      </c>
      <c r="C23" s="35"/>
      <c r="D23" s="35"/>
      <c r="E23" s="32">
        <f>ROUND(F14,2)</f>
        <v>2.89</v>
      </c>
      <c r="F23" s="33">
        <f>ROUND(F18,4)</f>
        <v>-1.9699999999999999E-2</v>
      </c>
      <c r="G23" s="34">
        <f>ROUND(F19,0)</f>
        <v>-19</v>
      </c>
      <c r="S23" s="39"/>
      <c r="T23" s="1"/>
      <c r="U23" s="1"/>
      <c r="V23" s="1"/>
      <c r="W23" s="1"/>
      <c r="X23" s="1"/>
      <c r="Y23" s="1"/>
      <c r="Z23" s="1"/>
      <c r="AA23" s="1"/>
      <c r="AB23" s="1"/>
    </row>
    <row r="24" spans="1:28" ht="15" hidden="1">
      <c r="A24" s="85"/>
      <c r="B24" s="100" t="s">
        <v>123</v>
      </c>
      <c r="C24" s="36" t="s">
        <v>164</v>
      </c>
      <c r="D24" s="36" t="s">
        <v>124</v>
      </c>
      <c r="E24" s="37" t="s">
        <v>125</v>
      </c>
      <c r="F24" s="37" t="s">
        <v>126</v>
      </c>
      <c r="G24" s="36" t="s">
        <v>10</v>
      </c>
      <c r="S24" s="39"/>
      <c r="T24" s="1"/>
      <c r="U24" s="1"/>
      <c r="V24" s="1"/>
      <c r="W24" s="1"/>
      <c r="X24" s="1"/>
      <c r="Y24" s="1"/>
      <c r="Z24" s="1"/>
      <c r="AA24" s="1"/>
      <c r="AB24" s="1"/>
    </row>
    <row r="25" spans="1:28" ht="15" hidden="1">
      <c r="A25" s="85"/>
      <c r="B25" s="102" t="s">
        <v>127</v>
      </c>
      <c r="C25" s="36" t="str">
        <f>CONCATENATE(C22*100,B24)</f>
        <v>6,09%</v>
      </c>
      <c r="D25" s="36" t="str">
        <f>CONCATENATE(D22*100,B24)</f>
        <v>2,73%</v>
      </c>
      <c r="E25" s="36" t="str">
        <f>CONCATENATE(E21," ",B21,E22,B22,E23,B23)</f>
        <v>2,23 (1,72-2,89)</v>
      </c>
      <c r="F25" s="36" t="str">
        <f>CONCATENATE(F21*100,B24," ",B21,F22*100,B24," ",B25," ",F23*100,B24,B23)</f>
        <v>-3,36% (-5,16% a -1,97%)</v>
      </c>
      <c r="G25" s="36" t="str">
        <f>CONCATENATE(G21," ",B21,G22," ",B25," ",G23,B23)</f>
        <v>-30 (-51 a -19)</v>
      </c>
      <c r="S25" s="39"/>
      <c r="T25" s="1"/>
      <c r="U25" s="1"/>
      <c r="V25" s="1"/>
      <c r="W25" s="1"/>
      <c r="X25" s="1"/>
      <c r="Y25" s="1"/>
      <c r="Z25" s="1"/>
      <c r="AA25" s="1"/>
      <c r="AB25" s="1"/>
    </row>
    <row r="26" spans="1:28" ht="15" hidden="1">
      <c r="A26" s="103"/>
      <c r="B26" s="79"/>
      <c r="C26" s="16"/>
      <c r="D26" s="16"/>
      <c r="E26" s="16"/>
      <c r="F26" s="16"/>
      <c r="G26" s="16"/>
      <c r="S26" s="39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thickBot="1">
      <c r="A27" s="291">
        <f>A13*A14</f>
        <v>2.73150191532258E-2</v>
      </c>
      <c r="B27" s="292" t="s">
        <v>165</v>
      </c>
      <c r="C27" s="1"/>
      <c r="D27" s="1"/>
      <c r="E27" s="1"/>
      <c r="F27" s="1"/>
      <c r="G27" s="1"/>
      <c r="S27" s="39"/>
      <c r="T27" s="1"/>
      <c r="U27" s="1"/>
      <c r="V27" s="1"/>
      <c r="W27" s="1"/>
      <c r="X27" s="1"/>
      <c r="Y27" s="1"/>
      <c r="Z27" s="1"/>
      <c r="AA27" s="1"/>
      <c r="AB27" s="1"/>
    </row>
    <row r="28" spans="1:28" ht="16.5" customHeight="1" thickBot="1">
      <c r="A28" s="104"/>
      <c r="B28" s="1"/>
      <c r="C28" s="298" t="s">
        <v>166</v>
      </c>
      <c r="D28" s="299" t="s">
        <v>124</v>
      </c>
      <c r="E28" s="299" t="s">
        <v>125</v>
      </c>
      <c r="F28" s="299" t="s">
        <v>9</v>
      </c>
      <c r="G28" s="300" t="s">
        <v>10</v>
      </c>
      <c r="S28" s="39"/>
      <c r="T28" s="1"/>
      <c r="U28" s="1"/>
      <c r="V28" s="1"/>
      <c r="W28" s="1"/>
      <c r="X28" s="1"/>
      <c r="Y28" s="1"/>
      <c r="Z28" s="1"/>
      <c r="AA28" s="1"/>
      <c r="AB28" s="1"/>
    </row>
    <row r="29" spans="1:28" ht="21" customHeight="1" thickBot="1">
      <c r="A29" s="105"/>
      <c r="B29" s="38"/>
      <c r="C29" s="301" t="str">
        <f>C25</f>
        <v>6,09%</v>
      </c>
      <c r="D29" s="302" t="str">
        <f>D25</f>
        <v>2,73%</v>
      </c>
      <c r="E29" s="302" t="str">
        <f>E25</f>
        <v>2,23 (1,72-2,89)</v>
      </c>
      <c r="F29" s="302" t="str">
        <f>F25</f>
        <v>-3,36% (-5,16% a -1,97%)</v>
      </c>
      <c r="G29" s="303" t="str">
        <f>G25</f>
        <v>-30 (-51 a -19)</v>
      </c>
      <c r="S29" s="39"/>
      <c r="T29" s="1"/>
      <c r="U29" s="1"/>
      <c r="V29" s="1"/>
      <c r="W29" s="1"/>
      <c r="X29" s="1"/>
      <c r="Y29" s="1"/>
      <c r="Z29" s="1"/>
      <c r="AA29" s="1"/>
      <c r="AB29" s="1"/>
    </row>
    <row r="30" spans="1:28" ht="15">
      <c r="B30" s="2"/>
      <c r="C30" s="2"/>
      <c r="E30" s="4"/>
      <c r="F30" s="3"/>
      <c r="S30" s="39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thickBot="1">
      <c r="D31" s="4"/>
      <c r="E31" s="4"/>
      <c r="S31" s="39"/>
      <c r="T31" s="1"/>
      <c r="U31" s="1"/>
      <c r="V31" s="1"/>
      <c r="W31" s="1"/>
      <c r="X31" s="1"/>
      <c r="Y31" s="1"/>
      <c r="Z31" s="1"/>
      <c r="AA31" s="1"/>
      <c r="AB31" s="1"/>
    </row>
    <row r="32" spans="1:28" ht="22.5" customHeight="1" thickBot="1">
      <c r="A32" s="369" t="s">
        <v>264</v>
      </c>
      <c r="B32" s="304" t="str">
        <f>B2</f>
        <v>Hipoglucemia grave  [expresadas en número de hipoglucemias graves, y no en número de pacientes con hipoglucemia gave]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6"/>
      <c r="S32" s="39"/>
      <c r="T32" s="1"/>
      <c r="U32" s="1"/>
    </row>
    <row r="33" spans="1:256" ht="36" customHeight="1" thickBot="1">
      <c r="A33" s="397" t="s">
        <v>135</v>
      </c>
      <c r="B33" s="397" t="s">
        <v>136</v>
      </c>
      <c r="C33" s="401" t="s">
        <v>7</v>
      </c>
      <c r="D33" s="403" t="s">
        <v>137</v>
      </c>
      <c r="E33" s="397" t="s">
        <v>138</v>
      </c>
      <c r="F33" s="397" t="s">
        <v>242</v>
      </c>
      <c r="G33" s="397" t="s">
        <v>243</v>
      </c>
      <c r="H33" s="397" t="s">
        <v>244</v>
      </c>
      <c r="I33" s="397" t="s">
        <v>245</v>
      </c>
      <c r="J33" s="397" t="s">
        <v>139</v>
      </c>
      <c r="K33" s="399" t="s">
        <v>140</v>
      </c>
      <c r="L33" s="386" t="s">
        <v>141</v>
      </c>
      <c r="M33" s="387"/>
      <c r="N33" s="387"/>
      <c r="O33" s="388"/>
      <c r="S33" s="39"/>
      <c r="T33" s="1"/>
      <c r="U33" s="1"/>
    </row>
    <row r="34" spans="1:256" ht="43.5" customHeight="1" thickBot="1">
      <c r="A34" s="398"/>
      <c r="B34" s="398"/>
      <c r="C34" s="402"/>
      <c r="D34" s="404"/>
      <c r="E34" s="398"/>
      <c r="F34" s="398"/>
      <c r="G34" s="398"/>
      <c r="H34" s="398"/>
      <c r="I34" s="398"/>
      <c r="J34" s="398"/>
      <c r="K34" s="400"/>
      <c r="L34" s="307" t="s">
        <v>8</v>
      </c>
      <c r="M34" s="308" t="s">
        <v>9</v>
      </c>
      <c r="N34" s="309" t="s">
        <v>10</v>
      </c>
      <c r="O34" s="310" t="s">
        <v>142</v>
      </c>
      <c r="S34" s="39"/>
      <c r="T34" s="1"/>
      <c r="U34" s="1"/>
    </row>
    <row r="35" spans="1:256" ht="24.75" customHeight="1">
      <c r="A35" s="389">
        <v>9</v>
      </c>
      <c r="B35" s="311" t="str">
        <f>A5</f>
        <v>ACCORD 2008, 3,8y</v>
      </c>
      <c r="C35" s="312" t="s">
        <v>11</v>
      </c>
      <c r="D35" s="313"/>
      <c r="E35" s="314">
        <f t="shared" ref="E35:E40" si="11">H5</f>
        <v>3.8</v>
      </c>
      <c r="F35" s="315" t="str">
        <f t="shared" ref="F35:F40" si="12">P5</f>
        <v>538 / 5128</v>
      </c>
      <c r="G35" s="316">
        <f t="shared" ref="G35:G40" si="13">L5</f>
        <v>2.7608999096805982E-2</v>
      </c>
      <c r="H35" s="315" t="str">
        <f t="shared" ref="H35:H40" si="14">Q5</f>
        <v>179 / 5123</v>
      </c>
      <c r="I35" s="317">
        <f t="shared" ref="I35:J40" si="15">M5</f>
        <v>9.1948590977737159E-3</v>
      </c>
      <c r="J35" s="318">
        <f t="shared" si="15"/>
        <v>62</v>
      </c>
      <c r="K35" s="6">
        <v>0.26700000000000002</v>
      </c>
      <c r="L35" s="7" t="s">
        <v>96</v>
      </c>
      <c r="M35" s="12" t="s">
        <v>97</v>
      </c>
      <c r="N35" s="13" t="s">
        <v>98</v>
      </c>
      <c r="O35" s="42" t="s">
        <v>115</v>
      </c>
      <c r="P35" s="40"/>
      <c r="Q35" s="43">
        <v>3</v>
      </c>
      <c r="R35" s="44">
        <f>Q35*K35</f>
        <v>0.80100000000000005</v>
      </c>
      <c r="S35" s="39"/>
      <c r="T35" s="1"/>
      <c r="U35" s="1"/>
    </row>
    <row r="36" spans="1:256" ht="24.75" customHeight="1">
      <c r="A36" s="390"/>
      <c r="B36" s="311" t="str">
        <f>A6</f>
        <v>ADVANCE 2008, 5y</v>
      </c>
      <c r="C36" s="312" t="s">
        <v>11</v>
      </c>
      <c r="D36" s="313"/>
      <c r="E36" s="314">
        <f t="shared" si="11"/>
        <v>5</v>
      </c>
      <c r="F36" s="315" t="str">
        <f t="shared" si="12"/>
        <v>150 / 5571</v>
      </c>
      <c r="G36" s="316">
        <f t="shared" si="13"/>
        <v>5.3850296176628969E-3</v>
      </c>
      <c r="H36" s="315" t="str">
        <f t="shared" si="14"/>
        <v>81 / 5569</v>
      </c>
      <c r="I36" s="316">
        <f t="shared" si="15"/>
        <v>2.9089603160351949E-3</v>
      </c>
      <c r="J36" s="318">
        <f t="shared" si="15"/>
        <v>66</v>
      </c>
      <c r="K36" s="6">
        <v>0.22700000000000001</v>
      </c>
      <c r="L36" s="7" t="s">
        <v>99</v>
      </c>
      <c r="M36" s="12" t="s">
        <v>100</v>
      </c>
      <c r="N36" s="8" t="s">
        <v>101</v>
      </c>
      <c r="O36" s="45" t="s">
        <v>116</v>
      </c>
      <c r="P36" s="40"/>
      <c r="Q36" s="43">
        <v>3.5</v>
      </c>
      <c r="R36" s="44">
        <f t="shared" ref="R36:R39" si="16">Q36*K36</f>
        <v>0.79449999999999998</v>
      </c>
      <c r="S36" s="39"/>
      <c r="T36" s="1"/>
      <c r="U36" s="1"/>
    </row>
    <row r="37" spans="1:256" ht="24.75" customHeight="1">
      <c r="A37" s="390"/>
      <c r="B37" s="311" t="str">
        <f>A7</f>
        <v>PROactive 2005, 2,8y</v>
      </c>
      <c r="C37" s="312" t="s">
        <v>11</v>
      </c>
      <c r="D37" s="313"/>
      <c r="E37" s="314">
        <f t="shared" si="11"/>
        <v>2.8</v>
      </c>
      <c r="F37" s="315" t="str">
        <f t="shared" si="12"/>
        <v>19 / 2605</v>
      </c>
      <c r="G37" s="316">
        <f t="shared" si="13"/>
        <v>2.6048807238826435E-3</v>
      </c>
      <c r="H37" s="315" t="str">
        <f t="shared" si="14"/>
        <v>11 / 2633</v>
      </c>
      <c r="I37" s="316">
        <f t="shared" si="15"/>
        <v>1.4920514350821984E-3</v>
      </c>
      <c r="J37" s="318">
        <f t="shared" si="15"/>
        <v>62</v>
      </c>
      <c r="K37" s="6">
        <v>8.6999999999999994E-2</v>
      </c>
      <c r="L37" s="7" t="s">
        <v>102</v>
      </c>
      <c r="M37" s="12" t="s">
        <v>103</v>
      </c>
      <c r="N37" s="12" t="s">
        <v>104</v>
      </c>
      <c r="O37" s="45" t="s">
        <v>116</v>
      </c>
      <c r="P37" s="40"/>
      <c r="Q37" s="43">
        <v>3.5</v>
      </c>
      <c r="R37" s="44">
        <f t="shared" si="16"/>
        <v>0.30449999999999999</v>
      </c>
      <c r="S37" s="39"/>
      <c r="T37" s="1"/>
      <c r="U37" s="1"/>
    </row>
    <row r="38" spans="1:256" ht="24.75" customHeight="1">
      <c r="A38" s="390"/>
      <c r="B38" s="311" t="str">
        <f>A8</f>
        <v>UKPDS 1998, 10y</v>
      </c>
      <c r="C38" s="312" t="s">
        <v>11</v>
      </c>
      <c r="D38" s="313"/>
      <c r="E38" s="314">
        <f t="shared" si="11"/>
        <v>10</v>
      </c>
      <c r="F38" s="315" t="str">
        <f t="shared" si="12"/>
        <v>419 / 3071</v>
      </c>
      <c r="G38" s="316">
        <f t="shared" si="13"/>
        <v>1.3643764246173884E-2</v>
      </c>
      <c r="H38" s="315" t="str">
        <f t="shared" si="14"/>
        <v>111 / 1549</v>
      </c>
      <c r="I38" s="316">
        <f t="shared" si="15"/>
        <v>7.1659134925758554E-3</v>
      </c>
      <c r="J38" s="318">
        <f t="shared" si="15"/>
        <v>53</v>
      </c>
      <c r="K38" s="6">
        <v>0.254</v>
      </c>
      <c r="L38" s="7" t="s">
        <v>105</v>
      </c>
      <c r="M38" s="12" t="s">
        <v>106</v>
      </c>
      <c r="N38" s="14" t="s">
        <v>107</v>
      </c>
      <c r="O38" s="45" t="s">
        <v>115</v>
      </c>
      <c r="P38" s="40"/>
      <c r="Q38" s="43">
        <v>3</v>
      </c>
      <c r="R38" s="44">
        <f t="shared" si="16"/>
        <v>0.76200000000000001</v>
      </c>
      <c r="S38" s="39"/>
      <c r="T38" s="1"/>
      <c r="U38" s="1"/>
    </row>
    <row r="39" spans="1:256" ht="24.75" customHeight="1" thickBot="1">
      <c r="A39" s="391"/>
      <c r="B39" s="311" t="str">
        <f>A9</f>
        <v>VADT 2009, 5,6y</v>
      </c>
      <c r="C39" s="312" t="s">
        <v>11</v>
      </c>
      <c r="D39" s="313"/>
      <c r="E39" s="314">
        <f t="shared" si="11"/>
        <v>5.6</v>
      </c>
      <c r="F39" s="315" t="str">
        <f t="shared" si="12"/>
        <v>72 / 892</v>
      </c>
      <c r="G39" s="316">
        <f t="shared" si="13"/>
        <v>1.4413837283792441E-2</v>
      </c>
      <c r="H39" s="315" t="str">
        <f t="shared" si="14"/>
        <v>28 / 899</v>
      </c>
      <c r="I39" s="316">
        <f t="shared" si="15"/>
        <v>5.5617352614015575E-3</v>
      </c>
      <c r="J39" s="318">
        <f t="shared" si="15"/>
        <v>60</v>
      </c>
      <c r="K39" s="6">
        <v>0.16500000000000001</v>
      </c>
      <c r="L39" s="7" t="s">
        <v>108</v>
      </c>
      <c r="M39" s="12" t="s">
        <v>109</v>
      </c>
      <c r="N39" s="13" t="s">
        <v>110</v>
      </c>
      <c r="O39" s="45" t="s">
        <v>116</v>
      </c>
      <c r="P39" s="40"/>
      <c r="Q39" s="43">
        <v>3.5</v>
      </c>
      <c r="R39" s="44">
        <f t="shared" si="16"/>
        <v>0.57750000000000001</v>
      </c>
      <c r="S39" s="39"/>
      <c r="T39" s="1"/>
      <c r="U39" s="1"/>
    </row>
    <row r="40" spans="1:256" ht="24" customHeight="1" thickBot="1">
      <c r="A40" s="319" t="s">
        <v>143</v>
      </c>
      <c r="B40" s="320">
        <f>COUNT(E35:E39)</f>
        <v>5</v>
      </c>
      <c r="C40" s="321"/>
      <c r="D40" s="256" t="s">
        <v>232</v>
      </c>
      <c r="E40" s="322">
        <f t="shared" si="11"/>
        <v>5.0105871670702173</v>
      </c>
      <c r="F40" s="323" t="str">
        <f t="shared" si="12"/>
        <v>1198 / 17267</v>
      </c>
      <c r="G40" s="324">
        <f t="shared" si="13"/>
        <v>1.3260925873859596E-2</v>
      </c>
      <c r="H40" s="323" t="str">
        <f t="shared" si="14"/>
        <v>410 / 15773</v>
      </c>
      <c r="I40" s="324">
        <f t="shared" si="15"/>
        <v>5.4514607255495354E-3</v>
      </c>
      <c r="J40" s="322">
        <f t="shared" si="15"/>
        <v>61.981779661016951</v>
      </c>
      <c r="K40" s="6">
        <v>1</v>
      </c>
      <c r="L40" s="18" t="s">
        <v>111</v>
      </c>
      <c r="M40" s="9"/>
      <c r="N40" s="15"/>
      <c r="O40" s="48" t="s">
        <v>116</v>
      </c>
      <c r="P40" s="40"/>
      <c r="Q40" s="40"/>
      <c r="R40" s="49">
        <f>SUM(R35:R39)</f>
        <v>3.2395</v>
      </c>
      <c r="S40" s="39"/>
      <c r="T40" s="1"/>
      <c r="U40" s="1"/>
    </row>
    <row r="41" spans="1:256" ht="13.5" thickBot="1">
      <c r="A41" s="325"/>
      <c r="B41" s="325"/>
      <c r="C41" s="326"/>
      <c r="D41" s="327"/>
      <c r="E41" s="328"/>
      <c r="F41" s="329"/>
      <c r="G41" s="330"/>
      <c r="H41" s="329"/>
      <c r="I41" s="331"/>
      <c r="J41" s="332"/>
      <c r="K41" s="50"/>
      <c r="L41" s="46"/>
      <c r="M41" s="47"/>
      <c r="N41" s="47"/>
      <c r="O41" s="50"/>
      <c r="P41" s="40"/>
      <c r="Q41" s="40"/>
      <c r="R41" s="40"/>
    </row>
    <row r="42" spans="1:256" ht="48" thickBot="1">
      <c r="A42" s="334"/>
      <c r="B42" s="392" t="s">
        <v>246</v>
      </c>
      <c r="C42" s="393"/>
      <c r="D42" s="393"/>
      <c r="E42" s="393"/>
      <c r="F42" s="393"/>
      <c r="G42" s="393"/>
      <c r="H42" s="393"/>
      <c r="I42" s="394"/>
      <c r="J42" s="51" t="s">
        <v>144</v>
      </c>
      <c r="K42" s="52" t="s">
        <v>145</v>
      </c>
      <c r="L42" s="53" t="s">
        <v>8</v>
      </c>
      <c r="M42" s="54" t="s">
        <v>9</v>
      </c>
      <c r="N42" s="55" t="s">
        <v>10</v>
      </c>
      <c r="O42" s="47"/>
      <c r="P42" s="41"/>
      <c r="Q42" s="41"/>
      <c r="R42" s="41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30" customHeight="1">
      <c r="A43" s="395" t="s">
        <v>146</v>
      </c>
      <c r="B43" s="335" t="s">
        <v>147</v>
      </c>
      <c r="C43" s="336">
        <f>I40</f>
        <v>5.4514607255495354E-3</v>
      </c>
      <c r="D43" s="337" t="s">
        <v>148</v>
      </c>
      <c r="E43" s="337"/>
      <c r="F43" s="337"/>
      <c r="G43" s="337"/>
      <c r="H43" s="338">
        <f>J40</f>
        <v>61.981779661016951</v>
      </c>
      <c r="I43" s="339" t="s">
        <v>149</v>
      </c>
      <c r="J43" s="56" t="s">
        <v>255</v>
      </c>
      <c r="K43" s="57" t="s">
        <v>256</v>
      </c>
      <c r="L43" s="109" t="s">
        <v>111</v>
      </c>
      <c r="M43" s="58" t="s">
        <v>233</v>
      </c>
      <c r="N43" s="257" t="s">
        <v>234</v>
      </c>
      <c r="O43" s="59" t="s">
        <v>150</v>
      </c>
      <c r="P43" s="40"/>
      <c r="Q43" s="40"/>
      <c r="R43" s="40"/>
    </row>
    <row r="44" spans="1:256" ht="30" customHeight="1" thickBot="1">
      <c r="A44" s="396"/>
      <c r="B44" s="341" t="s">
        <v>147</v>
      </c>
      <c r="C44" s="342">
        <f>I40*E40</f>
        <v>2.73150191532258E-2</v>
      </c>
      <c r="D44" s="343" t="s">
        <v>151</v>
      </c>
      <c r="E44" s="344"/>
      <c r="F44" s="345"/>
      <c r="G44" s="346">
        <f>E40</f>
        <v>5.0105871670702173</v>
      </c>
      <c r="H44" s="343" t="s">
        <v>2</v>
      </c>
      <c r="I44" s="347"/>
      <c r="J44" s="60" t="s">
        <v>257</v>
      </c>
      <c r="K44" s="61" t="s">
        <v>258</v>
      </c>
      <c r="L44" s="110" t="s">
        <v>111</v>
      </c>
      <c r="M44" s="62" t="s">
        <v>235</v>
      </c>
      <c r="N44" s="258" t="s">
        <v>236</v>
      </c>
      <c r="O44" s="63" t="s">
        <v>170</v>
      </c>
      <c r="P44" s="40"/>
      <c r="Q44" s="40"/>
      <c r="R44" s="40"/>
    </row>
    <row r="45" spans="1:256" ht="19.5" thickBot="1">
      <c r="A45" s="348"/>
      <c r="B45" s="349"/>
      <c r="C45" s="350"/>
      <c r="D45" s="351"/>
      <c r="E45" s="352"/>
      <c r="F45" s="353"/>
      <c r="G45" s="354"/>
      <c r="H45" s="351"/>
      <c r="I45" s="353"/>
      <c r="J45" s="64"/>
      <c r="K45" s="64"/>
      <c r="L45" s="65"/>
      <c r="M45" s="66"/>
      <c r="N45" s="66"/>
      <c r="O45" s="67"/>
      <c r="P45" s="40"/>
      <c r="Q45" s="40"/>
      <c r="R45" s="40"/>
    </row>
    <row r="46" spans="1:256" ht="19.5" thickBot="1">
      <c r="A46" s="355"/>
      <c r="B46" s="355"/>
      <c r="C46" s="333"/>
      <c r="D46" s="333"/>
      <c r="E46" s="333"/>
      <c r="F46" s="333"/>
      <c r="G46" s="333"/>
      <c r="H46" s="333"/>
      <c r="I46" s="356"/>
      <c r="J46" s="361"/>
      <c r="K46" s="362" t="s">
        <v>152</v>
      </c>
      <c r="L46" s="247" t="s">
        <v>206</v>
      </c>
      <c r="M46" s="68"/>
      <c r="N46" s="69"/>
      <c r="O46" s="70"/>
      <c r="P46" s="40"/>
      <c r="Q46" s="40"/>
      <c r="R46" s="40"/>
    </row>
    <row r="47" spans="1:256">
      <c r="A47" s="262"/>
      <c r="C47" s="2"/>
      <c r="F47" s="333"/>
      <c r="G47" s="333"/>
      <c r="H47" s="333"/>
      <c r="I47" s="370" t="s">
        <v>153</v>
      </c>
      <c r="J47" s="363">
        <f>E40</f>
        <v>5.0105871670702173</v>
      </c>
      <c r="K47" s="363">
        <f>E40</f>
        <v>5.0105871670702173</v>
      </c>
      <c r="L47" s="50"/>
      <c r="M47" s="50"/>
      <c r="N47" s="50"/>
      <c r="O47" s="50"/>
      <c r="P47" s="40"/>
      <c r="Q47" s="40"/>
      <c r="R47" s="40"/>
    </row>
    <row r="48" spans="1:256" ht="19.5" customHeight="1">
      <c r="A48" s="262"/>
      <c r="C48" s="2"/>
      <c r="F48" s="333"/>
      <c r="G48" s="333"/>
      <c r="H48" s="333"/>
      <c r="I48" s="371"/>
      <c r="J48" s="372" t="s">
        <v>0</v>
      </c>
      <c r="K48" s="372" t="s">
        <v>132</v>
      </c>
      <c r="L48" s="372" t="s">
        <v>237</v>
      </c>
      <c r="M48" s="50"/>
      <c r="N48" s="50"/>
      <c r="O48" s="50"/>
      <c r="P48" s="40"/>
      <c r="Q48" s="40"/>
      <c r="R48" s="40"/>
    </row>
    <row r="49" spans="1:18" ht="19.5" customHeight="1">
      <c r="F49" s="333"/>
      <c r="G49" s="333"/>
      <c r="H49" s="333"/>
      <c r="I49" s="373" t="s">
        <v>154</v>
      </c>
      <c r="J49" s="378">
        <f>J43*1000*J47</f>
        <v>61.129163438256654</v>
      </c>
      <c r="K49" s="377">
        <f>K43*1000*K47</f>
        <v>27.558229418886196</v>
      </c>
      <c r="L49" s="375">
        <f>((J49*I10)+(K49*J10))/K10</f>
        <v>45.877903147699747</v>
      </c>
      <c r="M49" s="50"/>
      <c r="N49" s="50"/>
      <c r="O49" s="50"/>
      <c r="P49" s="40"/>
      <c r="Q49" s="40"/>
      <c r="R49" s="40"/>
    </row>
    <row r="50" spans="1:18">
      <c r="A50" s="1"/>
      <c r="B50" s="1"/>
      <c r="C50" s="1"/>
      <c r="D50" s="1"/>
      <c r="E50" s="1"/>
      <c r="F50" s="1"/>
      <c r="G50" s="1"/>
    </row>
    <row r="51" spans="1:18">
      <c r="A51" s="1"/>
      <c r="B51" s="1"/>
      <c r="C51" s="1"/>
      <c r="D51" s="1"/>
      <c r="E51" s="1"/>
      <c r="F51" s="1"/>
      <c r="G51" s="1"/>
    </row>
    <row r="52" spans="1:18">
      <c r="A52" s="1"/>
      <c r="B52" s="1"/>
      <c r="C52" s="1"/>
      <c r="D52" s="1"/>
      <c r="E52" s="1"/>
      <c r="F52" s="1"/>
      <c r="G52" s="1"/>
    </row>
    <row r="53" spans="1:18">
      <c r="A53" s="1"/>
      <c r="B53" s="1"/>
      <c r="C53" s="1"/>
      <c r="D53" s="1"/>
      <c r="E53" s="1"/>
      <c r="F53" s="1"/>
      <c r="G53" s="1"/>
    </row>
    <row r="54" spans="1:18">
      <c r="A54" s="1"/>
      <c r="B54" s="1"/>
      <c r="C54" s="1"/>
      <c r="D54" s="1"/>
      <c r="E54" s="1"/>
      <c r="F54" s="1"/>
      <c r="G54" s="1"/>
    </row>
    <row r="55" spans="1:18">
      <c r="A55" s="1"/>
      <c r="B55" s="1"/>
      <c r="C55" s="1"/>
      <c r="D55" s="1"/>
      <c r="E55" s="1"/>
      <c r="F55" s="1"/>
      <c r="G55" s="1"/>
    </row>
    <row r="56" spans="1:18">
      <c r="A56" s="1"/>
      <c r="B56" s="1"/>
      <c r="C56" s="1"/>
      <c r="D56" s="1"/>
      <c r="E56" s="1"/>
      <c r="F56" s="1"/>
      <c r="G56" s="1"/>
    </row>
    <row r="57" spans="1:18">
      <c r="A57" s="1"/>
      <c r="B57" s="1"/>
      <c r="C57" s="1"/>
      <c r="D57" s="1"/>
      <c r="E57" s="1"/>
      <c r="F57" s="1"/>
      <c r="G57" s="1"/>
    </row>
    <row r="58" spans="1:18">
      <c r="A58" s="1"/>
      <c r="B58" s="1"/>
      <c r="C58" s="1"/>
      <c r="D58" s="1"/>
      <c r="E58" s="1"/>
      <c r="F58" s="1"/>
      <c r="G58" s="1"/>
    </row>
    <row r="59" spans="1:18">
      <c r="A59" s="1"/>
      <c r="B59" s="1"/>
      <c r="C59" s="1"/>
      <c r="D59" s="1"/>
      <c r="E59" s="1"/>
      <c r="F59" s="1"/>
      <c r="G59" s="1"/>
    </row>
    <row r="60" spans="1:18">
      <c r="A60" s="1"/>
      <c r="B60" s="1"/>
      <c r="C60" s="1"/>
      <c r="D60" s="1"/>
      <c r="E60" s="1"/>
      <c r="F60" s="1"/>
      <c r="G60" s="1"/>
    </row>
    <row r="61" spans="1:18">
      <c r="A61" s="1"/>
      <c r="B61" s="1"/>
      <c r="C61" s="1"/>
      <c r="D61" s="1"/>
      <c r="E61" s="1"/>
      <c r="F61" s="1"/>
      <c r="G61" s="1"/>
    </row>
    <row r="62" spans="1:18">
      <c r="A62" s="1"/>
      <c r="B62" s="1"/>
      <c r="C62" s="1"/>
      <c r="D62" s="1"/>
      <c r="E62" s="1"/>
      <c r="F62" s="1"/>
      <c r="G62" s="1"/>
    </row>
    <row r="63" spans="1:18">
      <c r="A63" s="1"/>
      <c r="B63" s="1"/>
      <c r="C63" s="1"/>
      <c r="D63" s="1"/>
      <c r="E63" s="1"/>
      <c r="F63" s="1"/>
      <c r="G63" s="1"/>
    </row>
    <row r="64" spans="1:18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</sheetData>
  <mergeCells count="20">
    <mergeCell ref="B3:D3"/>
    <mergeCell ref="E3:G3"/>
    <mergeCell ref="I3:K3"/>
    <mergeCell ref="L3:M3"/>
    <mergeCell ref="D12:F12"/>
    <mergeCell ref="L33:O33"/>
    <mergeCell ref="A35:A39"/>
    <mergeCell ref="B42:I42"/>
    <mergeCell ref="A43:A44"/>
    <mergeCell ref="F33:F34"/>
    <mergeCell ref="G33:G34"/>
    <mergeCell ref="H33:H34"/>
    <mergeCell ref="I33:I34"/>
    <mergeCell ref="J33:J34"/>
    <mergeCell ref="K33:K34"/>
    <mergeCell ref="A33:A34"/>
    <mergeCell ref="B33:B34"/>
    <mergeCell ref="C33:C34"/>
    <mergeCell ref="D33:D34"/>
    <mergeCell ref="E33:E34"/>
  </mergeCells>
  <pageMargins left="0.7" right="0.7" top="0.75" bottom="0.75" header="0.3" footer="0.3"/>
  <ignoredErrors>
    <ignoredError sqref="J43:K44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5"/>
  <sheetViews>
    <sheetView workbookViewId="0"/>
  </sheetViews>
  <sheetFormatPr baseColWidth="10" defaultRowHeight="12.75"/>
  <cols>
    <col min="1" max="1" width="4.42578125" style="1" customWidth="1"/>
    <col min="2" max="2" width="26.28515625" style="1" customWidth="1"/>
    <col min="3" max="3" width="8.28515625" style="1" customWidth="1"/>
    <col min="4" max="4" width="9.7109375" style="1" customWidth="1"/>
    <col min="5" max="5" width="11.140625" style="1" customWidth="1"/>
    <col min="6" max="6" width="8.42578125" style="1" customWidth="1"/>
    <col min="7" max="7" width="10.140625" style="1" customWidth="1"/>
    <col min="8" max="8" width="10.5703125" style="1" customWidth="1"/>
    <col min="9" max="9" width="1.42578125" style="2" customWidth="1"/>
    <col min="10" max="10" width="1.7109375" style="1" customWidth="1"/>
    <col min="11" max="11" width="9.5703125" style="1" hidden="1" customWidth="1"/>
    <col min="12" max="12" width="10" style="1" hidden="1" customWidth="1"/>
    <col min="13" max="13" width="10.7109375" style="1" hidden="1" customWidth="1"/>
    <col min="14" max="14" width="8.5703125" style="1" hidden="1" customWidth="1"/>
    <col min="15" max="15" width="8.140625" style="1" hidden="1" customWidth="1"/>
    <col min="16" max="16" width="0" style="1" hidden="1" customWidth="1"/>
    <col min="17" max="17" width="10.140625" style="1" customWidth="1"/>
    <col min="18" max="18" width="6.5703125" style="1" customWidth="1"/>
    <col min="19" max="19" width="7.140625" style="1" customWidth="1"/>
    <col min="20" max="21" width="7.7109375" style="1" customWidth="1"/>
    <col min="22" max="23" width="9.140625" style="1" customWidth="1"/>
    <col min="24" max="24" width="1.42578125" style="2" customWidth="1"/>
    <col min="25" max="25" width="1.7109375" style="10" customWidth="1"/>
    <col min="26" max="26" width="18.28515625" style="1" hidden="1" customWidth="1"/>
    <col min="27" max="27" width="21.85546875" style="1" hidden="1" customWidth="1"/>
    <col min="28" max="28" width="9.42578125" style="1" hidden="1" customWidth="1"/>
    <col min="29" max="29" width="11.7109375" style="1" hidden="1" customWidth="1"/>
    <col min="30" max="30" width="8.85546875" style="1" hidden="1" customWidth="1"/>
    <col min="31" max="31" width="10.5703125" style="1" hidden="1" customWidth="1"/>
    <col min="32" max="32" width="14.7109375" style="246" hidden="1" customWidth="1"/>
    <col min="33" max="34" width="11.7109375" style="1" hidden="1" customWidth="1"/>
    <col min="35" max="35" width="13.85546875" style="1" hidden="1" customWidth="1"/>
    <col min="36" max="36" width="11.140625" style="1" hidden="1" customWidth="1"/>
    <col min="37" max="37" width="11.140625" style="1" customWidth="1"/>
    <col min="38" max="38" width="16.7109375" style="1" hidden="1" customWidth="1"/>
    <col min="39" max="39" width="11.42578125" style="1" hidden="1" customWidth="1"/>
    <col min="40" max="40" width="13" style="1" customWidth="1"/>
    <col min="41" max="42" width="11.42578125" style="1"/>
    <col min="43" max="43" width="9.140625" style="1" customWidth="1"/>
    <col min="44" max="44" width="11.42578125" style="1"/>
    <col min="45" max="45" width="12.42578125" style="1" customWidth="1"/>
    <col min="46" max="47" width="10.7109375" style="1" customWidth="1"/>
    <col min="48" max="48" width="1.85546875" style="2" customWidth="1"/>
    <col min="49" max="49" width="2" style="1" customWidth="1"/>
    <col min="50" max="53" width="0" style="1" hidden="1" customWidth="1"/>
    <col min="54" max="54" width="4.5703125" style="1" hidden="1" customWidth="1"/>
    <col min="55" max="57" width="0" style="1" hidden="1" customWidth="1"/>
    <col min="58" max="58" width="12.5703125" style="1" hidden="1" customWidth="1"/>
    <col min="59" max="64" width="0" style="1" hidden="1" customWidth="1"/>
    <col min="65" max="65" width="21" style="1" hidden="1" customWidth="1"/>
    <col min="66" max="66" width="19.85546875" style="1" hidden="1" customWidth="1"/>
    <col min="67" max="67" width="18.42578125" style="1" hidden="1" customWidth="1"/>
    <col min="68" max="68" width="20.140625" style="1" hidden="1" customWidth="1"/>
    <col min="69" max="69" width="20.5703125" style="1" hidden="1" customWidth="1"/>
    <col min="70" max="70" width="7.140625" style="1" hidden="1" customWidth="1"/>
    <col min="71" max="71" width="20" style="2" hidden="1" customWidth="1"/>
    <col min="72" max="72" width="19.28515625" style="2" hidden="1" customWidth="1"/>
    <col min="73" max="73" width="13" style="1" customWidth="1"/>
    <col min="74" max="75" width="12.28515625" style="1" customWidth="1"/>
    <col min="76" max="256" width="11.42578125" style="1"/>
    <col min="257" max="257" width="4.42578125" style="1" customWidth="1"/>
    <col min="258" max="258" width="26.28515625" style="1" customWidth="1"/>
    <col min="259" max="259" width="8.28515625" style="1" customWidth="1"/>
    <col min="260" max="260" width="9.7109375" style="1" customWidth="1"/>
    <col min="261" max="261" width="11.140625" style="1" customWidth="1"/>
    <col min="262" max="262" width="8.42578125" style="1" customWidth="1"/>
    <col min="263" max="263" width="10.140625" style="1" customWidth="1"/>
    <col min="264" max="264" width="10.5703125" style="1" customWidth="1"/>
    <col min="265" max="265" width="1.42578125" style="1" customWidth="1"/>
    <col min="266" max="266" width="1.7109375" style="1" customWidth="1"/>
    <col min="267" max="272" width="0" style="1" hidden="1" customWidth="1"/>
    <col min="273" max="273" width="10.140625" style="1" customWidth="1"/>
    <col min="274" max="274" width="6.5703125" style="1" customWidth="1"/>
    <col min="275" max="275" width="7.140625" style="1" customWidth="1"/>
    <col min="276" max="277" width="7.7109375" style="1" customWidth="1"/>
    <col min="278" max="279" width="9.140625" style="1" customWidth="1"/>
    <col min="280" max="280" width="1.42578125" style="1" customWidth="1"/>
    <col min="281" max="281" width="1.7109375" style="1" customWidth="1"/>
    <col min="282" max="292" width="0" style="1" hidden="1" customWidth="1"/>
    <col min="293" max="293" width="11.140625" style="1" customWidth="1"/>
    <col min="294" max="295" width="0" style="1" hidden="1" customWidth="1"/>
    <col min="296" max="296" width="13" style="1" customWidth="1"/>
    <col min="297" max="298" width="11.42578125" style="1"/>
    <col min="299" max="299" width="9.140625" style="1" customWidth="1"/>
    <col min="300" max="300" width="11.42578125" style="1"/>
    <col min="301" max="301" width="12.42578125" style="1" customWidth="1"/>
    <col min="302" max="303" width="10.7109375" style="1" customWidth="1"/>
    <col min="304" max="304" width="1.85546875" style="1" customWidth="1"/>
    <col min="305" max="305" width="2" style="1" customWidth="1"/>
    <col min="306" max="328" width="0" style="1" hidden="1" customWidth="1"/>
    <col min="329" max="329" width="13" style="1" customWidth="1"/>
    <col min="330" max="331" width="12.28515625" style="1" customWidth="1"/>
    <col min="332" max="512" width="11.42578125" style="1"/>
    <col min="513" max="513" width="4.42578125" style="1" customWidth="1"/>
    <col min="514" max="514" width="26.28515625" style="1" customWidth="1"/>
    <col min="515" max="515" width="8.28515625" style="1" customWidth="1"/>
    <col min="516" max="516" width="9.7109375" style="1" customWidth="1"/>
    <col min="517" max="517" width="11.140625" style="1" customWidth="1"/>
    <col min="518" max="518" width="8.42578125" style="1" customWidth="1"/>
    <col min="519" max="519" width="10.140625" style="1" customWidth="1"/>
    <col min="520" max="520" width="10.5703125" style="1" customWidth="1"/>
    <col min="521" max="521" width="1.42578125" style="1" customWidth="1"/>
    <col min="522" max="522" width="1.7109375" style="1" customWidth="1"/>
    <col min="523" max="528" width="0" style="1" hidden="1" customWidth="1"/>
    <col min="529" max="529" width="10.140625" style="1" customWidth="1"/>
    <col min="530" max="530" width="6.5703125" style="1" customWidth="1"/>
    <col min="531" max="531" width="7.140625" style="1" customWidth="1"/>
    <col min="532" max="533" width="7.7109375" style="1" customWidth="1"/>
    <col min="534" max="535" width="9.140625" style="1" customWidth="1"/>
    <col min="536" max="536" width="1.42578125" style="1" customWidth="1"/>
    <col min="537" max="537" width="1.7109375" style="1" customWidth="1"/>
    <col min="538" max="548" width="0" style="1" hidden="1" customWidth="1"/>
    <col min="549" max="549" width="11.140625" style="1" customWidth="1"/>
    <col min="550" max="551" width="0" style="1" hidden="1" customWidth="1"/>
    <col min="552" max="552" width="13" style="1" customWidth="1"/>
    <col min="553" max="554" width="11.42578125" style="1"/>
    <col min="555" max="555" width="9.140625" style="1" customWidth="1"/>
    <col min="556" max="556" width="11.42578125" style="1"/>
    <col min="557" max="557" width="12.42578125" style="1" customWidth="1"/>
    <col min="558" max="559" width="10.7109375" style="1" customWidth="1"/>
    <col min="560" max="560" width="1.85546875" style="1" customWidth="1"/>
    <col min="561" max="561" width="2" style="1" customWidth="1"/>
    <col min="562" max="584" width="0" style="1" hidden="1" customWidth="1"/>
    <col min="585" max="585" width="13" style="1" customWidth="1"/>
    <col min="586" max="587" width="12.28515625" style="1" customWidth="1"/>
    <col min="588" max="768" width="11.42578125" style="1"/>
    <col min="769" max="769" width="4.42578125" style="1" customWidth="1"/>
    <col min="770" max="770" width="26.28515625" style="1" customWidth="1"/>
    <col min="771" max="771" width="8.28515625" style="1" customWidth="1"/>
    <col min="772" max="772" width="9.7109375" style="1" customWidth="1"/>
    <col min="773" max="773" width="11.140625" style="1" customWidth="1"/>
    <col min="774" max="774" width="8.42578125" style="1" customWidth="1"/>
    <col min="775" max="775" width="10.140625" style="1" customWidth="1"/>
    <col min="776" max="776" width="10.5703125" style="1" customWidth="1"/>
    <col min="777" max="777" width="1.42578125" style="1" customWidth="1"/>
    <col min="778" max="778" width="1.7109375" style="1" customWidth="1"/>
    <col min="779" max="784" width="0" style="1" hidden="1" customWidth="1"/>
    <col min="785" max="785" width="10.140625" style="1" customWidth="1"/>
    <col min="786" max="786" width="6.5703125" style="1" customWidth="1"/>
    <col min="787" max="787" width="7.140625" style="1" customWidth="1"/>
    <col min="788" max="789" width="7.7109375" style="1" customWidth="1"/>
    <col min="790" max="791" width="9.140625" style="1" customWidth="1"/>
    <col min="792" max="792" width="1.42578125" style="1" customWidth="1"/>
    <col min="793" max="793" width="1.7109375" style="1" customWidth="1"/>
    <col min="794" max="804" width="0" style="1" hidden="1" customWidth="1"/>
    <col min="805" max="805" width="11.140625" style="1" customWidth="1"/>
    <col min="806" max="807" width="0" style="1" hidden="1" customWidth="1"/>
    <col min="808" max="808" width="13" style="1" customWidth="1"/>
    <col min="809" max="810" width="11.42578125" style="1"/>
    <col min="811" max="811" width="9.140625" style="1" customWidth="1"/>
    <col min="812" max="812" width="11.42578125" style="1"/>
    <col min="813" max="813" width="12.42578125" style="1" customWidth="1"/>
    <col min="814" max="815" width="10.7109375" style="1" customWidth="1"/>
    <col min="816" max="816" width="1.85546875" style="1" customWidth="1"/>
    <col min="817" max="817" width="2" style="1" customWidth="1"/>
    <col min="818" max="840" width="0" style="1" hidden="1" customWidth="1"/>
    <col min="841" max="841" width="13" style="1" customWidth="1"/>
    <col min="842" max="843" width="12.28515625" style="1" customWidth="1"/>
    <col min="844" max="1024" width="11.42578125" style="1"/>
    <col min="1025" max="1025" width="4.42578125" style="1" customWidth="1"/>
    <col min="1026" max="1026" width="26.28515625" style="1" customWidth="1"/>
    <col min="1027" max="1027" width="8.28515625" style="1" customWidth="1"/>
    <col min="1028" max="1028" width="9.7109375" style="1" customWidth="1"/>
    <col min="1029" max="1029" width="11.140625" style="1" customWidth="1"/>
    <col min="1030" max="1030" width="8.42578125" style="1" customWidth="1"/>
    <col min="1031" max="1031" width="10.140625" style="1" customWidth="1"/>
    <col min="1032" max="1032" width="10.5703125" style="1" customWidth="1"/>
    <col min="1033" max="1033" width="1.42578125" style="1" customWidth="1"/>
    <col min="1034" max="1034" width="1.7109375" style="1" customWidth="1"/>
    <col min="1035" max="1040" width="0" style="1" hidden="1" customWidth="1"/>
    <col min="1041" max="1041" width="10.140625" style="1" customWidth="1"/>
    <col min="1042" max="1042" width="6.5703125" style="1" customWidth="1"/>
    <col min="1043" max="1043" width="7.140625" style="1" customWidth="1"/>
    <col min="1044" max="1045" width="7.7109375" style="1" customWidth="1"/>
    <col min="1046" max="1047" width="9.140625" style="1" customWidth="1"/>
    <col min="1048" max="1048" width="1.42578125" style="1" customWidth="1"/>
    <col min="1049" max="1049" width="1.7109375" style="1" customWidth="1"/>
    <col min="1050" max="1060" width="0" style="1" hidden="1" customWidth="1"/>
    <col min="1061" max="1061" width="11.140625" style="1" customWidth="1"/>
    <col min="1062" max="1063" width="0" style="1" hidden="1" customWidth="1"/>
    <col min="1064" max="1064" width="13" style="1" customWidth="1"/>
    <col min="1065" max="1066" width="11.42578125" style="1"/>
    <col min="1067" max="1067" width="9.140625" style="1" customWidth="1"/>
    <col min="1068" max="1068" width="11.42578125" style="1"/>
    <col min="1069" max="1069" width="12.42578125" style="1" customWidth="1"/>
    <col min="1070" max="1071" width="10.7109375" style="1" customWidth="1"/>
    <col min="1072" max="1072" width="1.85546875" style="1" customWidth="1"/>
    <col min="1073" max="1073" width="2" style="1" customWidth="1"/>
    <col min="1074" max="1096" width="0" style="1" hidden="1" customWidth="1"/>
    <col min="1097" max="1097" width="13" style="1" customWidth="1"/>
    <col min="1098" max="1099" width="12.28515625" style="1" customWidth="1"/>
    <col min="1100" max="1280" width="11.42578125" style="1"/>
    <col min="1281" max="1281" width="4.42578125" style="1" customWidth="1"/>
    <col min="1282" max="1282" width="26.28515625" style="1" customWidth="1"/>
    <col min="1283" max="1283" width="8.28515625" style="1" customWidth="1"/>
    <col min="1284" max="1284" width="9.7109375" style="1" customWidth="1"/>
    <col min="1285" max="1285" width="11.140625" style="1" customWidth="1"/>
    <col min="1286" max="1286" width="8.42578125" style="1" customWidth="1"/>
    <col min="1287" max="1287" width="10.140625" style="1" customWidth="1"/>
    <col min="1288" max="1288" width="10.5703125" style="1" customWidth="1"/>
    <col min="1289" max="1289" width="1.42578125" style="1" customWidth="1"/>
    <col min="1290" max="1290" width="1.7109375" style="1" customWidth="1"/>
    <col min="1291" max="1296" width="0" style="1" hidden="1" customWidth="1"/>
    <col min="1297" max="1297" width="10.140625" style="1" customWidth="1"/>
    <col min="1298" max="1298" width="6.5703125" style="1" customWidth="1"/>
    <col min="1299" max="1299" width="7.140625" style="1" customWidth="1"/>
    <col min="1300" max="1301" width="7.7109375" style="1" customWidth="1"/>
    <col min="1302" max="1303" width="9.140625" style="1" customWidth="1"/>
    <col min="1304" max="1304" width="1.42578125" style="1" customWidth="1"/>
    <col min="1305" max="1305" width="1.7109375" style="1" customWidth="1"/>
    <col min="1306" max="1316" width="0" style="1" hidden="1" customWidth="1"/>
    <col min="1317" max="1317" width="11.140625" style="1" customWidth="1"/>
    <col min="1318" max="1319" width="0" style="1" hidden="1" customWidth="1"/>
    <col min="1320" max="1320" width="13" style="1" customWidth="1"/>
    <col min="1321" max="1322" width="11.42578125" style="1"/>
    <col min="1323" max="1323" width="9.140625" style="1" customWidth="1"/>
    <col min="1324" max="1324" width="11.42578125" style="1"/>
    <col min="1325" max="1325" width="12.42578125" style="1" customWidth="1"/>
    <col min="1326" max="1327" width="10.7109375" style="1" customWidth="1"/>
    <col min="1328" max="1328" width="1.85546875" style="1" customWidth="1"/>
    <col min="1329" max="1329" width="2" style="1" customWidth="1"/>
    <col min="1330" max="1352" width="0" style="1" hidden="1" customWidth="1"/>
    <col min="1353" max="1353" width="13" style="1" customWidth="1"/>
    <col min="1354" max="1355" width="12.28515625" style="1" customWidth="1"/>
    <col min="1356" max="1536" width="11.42578125" style="1"/>
    <col min="1537" max="1537" width="4.42578125" style="1" customWidth="1"/>
    <col min="1538" max="1538" width="26.28515625" style="1" customWidth="1"/>
    <col min="1539" max="1539" width="8.28515625" style="1" customWidth="1"/>
    <col min="1540" max="1540" width="9.7109375" style="1" customWidth="1"/>
    <col min="1541" max="1541" width="11.140625" style="1" customWidth="1"/>
    <col min="1542" max="1542" width="8.42578125" style="1" customWidth="1"/>
    <col min="1543" max="1543" width="10.140625" style="1" customWidth="1"/>
    <col min="1544" max="1544" width="10.5703125" style="1" customWidth="1"/>
    <col min="1545" max="1545" width="1.42578125" style="1" customWidth="1"/>
    <col min="1546" max="1546" width="1.7109375" style="1" customWidth="1"/>
    <col min="1547" max="1552" width="0" style="1" hidden="1" customWidth="1"/>
    <col min="1553" max="1553" width="10.140625" style="1" customWidth="1"/>
    <col min="1554" max="1554" width="6.5703125" style="1" customWidth="1"/>
    <col min="1555" max="1555" width="7.140625" style="1" customWidth="1"/>
    <col min="1556" max="1557" width="7.7109375" style="1" customWidth="1"/>
    <col min="1558" max="1559" width="9.140625" style="1" customWidth="1"/>
    <col min="1560" max="1560" width="1.42578125" style="1" customWidth="1"/>
    <col min="1561" max="1561" width="1.7109375" style="1" customWidth="1"/>
    <col min="1562" max="1572" width="0" style="1" hidden="1" customWidth="1"/>
    <col min="1573" max="1573" width="11.140625" style="1" customWidth="1"/>
    <col min="1574" max="1575" width="0" style="1" hidden="1" customWidth="1"/>
    <col min="1576" max="1576" width="13" style="1" customWidth="1"/>
    <col min="1577" max="1578" width="11.42578125" style="1"/>
    <col min="1579" max="1579" width="9.140625" style="1" customWidth="1"/>
    <col min="1580" max="1580" width="11.42578125" style="1"/>
    <col min="1581" max="1581" width="12.42578125" style="1" customWidth="1"/>
    <col min="1582" max="1583" width="10.7109375" style="1" customWidth="1"/>
    <col min="1584" max="1584" width="1.85546875" style="1" customWidth="1"/>
    <col min="1585" max="1585" width="2" style="1" customWidth="1"/>
    <col min="1586" max="1608" width="0" style="1" hidden="1" customWidth="1"/>
    <col min="1609" max="1609" width="13" style="1" customWidth="1"/>
    <col min="1610" max="1611" width="12.28515625" style="1" customWidth="1"/>
    <col min="1612" max="1792" width="11.42578125" style="1"/>
    <col min="1793" max="1793" width="4.42578125" style="1" customWidth="1"/>
    <col min="1794" max="1794" width="26.28515625" style="1" customWidth="1"/>
    <col min="1795" max="1795" width="8.28515625" style="1" customWidth="1"/>
    <col min="1796" max="1796" width="9.7109375" style="1" customWidth="1"/>
    <col min="1797" max="1797" width="11.140625" style="1" customWidth="1"/>
    <col min="1798" max="1798" width="8.42578125" style="1" customWidth="1"/>
    <col min="1799" max="1799" width="10.140625" style="1" customWidth="1"/>
    <col min="1800" max="1800" width="10.5703125" style="1" customWidth="1"/>
    <col min="1801" max="1801" width="1.42578125" style="1" customWidth="1"/>
    <col min="1802" max="1802" width="1.7109375" style="1" customWidth="1"/>
    <col min="1803" max="1808" width="0" style="1" hidden="1" customWidth="1"/>
    <col min="1809" max="1809" width="10.140625" style="1" customWidth="1"/>
    <col min="1810" max="1810" width="6.5703125" style="1" customWidth="1"/>
    <col min="1811" max="1811" width="7.140625" style="1" customWidth="1"/>
    <col min="1812" max="1813" width="7.7109375" style="1" customWidth="1"/>
    <col min="1814" max="1815" width="9.140625" style="1" customWidth="1"/>
    <col min="1816" max="1816" width="1.42578125" style="1" customWidth="1"/>
    <col min="1817" max="1817" width="1.7109375" style="1" customWidth="1"/>
    <col min="1818" max="1828" width="0" style="1" hidden="1" customWidth="1"/>
    <col min="1829" max="1829" width="11.140625" style="1" customWidth="1"/>
    <col min="1830" max="1831" width="0" style="1" hidden="1" customWidth="1"/>
    <col min="1832" max="1832" width="13" style="1" customWidth="1"/>
    <col min="1833" max="1834" width="11.42578125" style="1"/>
    <col min="1835" max="1835" width="9.140625" style="1" customWidth="1"/>
    <col min="1836" max="1836" width="11.42578125" style="1"/>
    <col min="1837" max="1837" width="12.42578125" style="1" customWidth="1"/>
    <col min="1838" max="1839" width="10.7109375" style="1" customWidth="1"/>
    <col min="1840" max="1840" width="1.85546875" style="1" customWidth="1"/>
    <col min="1841" max="1841" width="2" style="1" customWidth="1"/>
    <col min="1842" max="1864" width="0" style="1" hidden="1" customWidth="1"/>
    <col min="1865" max="1865" width="13" style="1" customWidth="1"/>
    <col min="1866" max="1867" width="12.28515625" style="1" customWidth="1"/>
    <col min="1868" max="2048" width="11.42578125" style="1"/>
    <col min="2049" max="2049" width="4.42578125" style="1" customWidth="1"/>
    <col min="2050" max="2050" width="26.28515625" style="1" customWidth="1"/>
    <col min="2051" max="2051" width="8.28515625" style="1" customWidth="1"/>
    <col min="2052" max="2052" width="9.7109375" style="1" customWidth="1"/>
    <col min="2053" max="2053" width="11.140625" style="1" customWidth="1"/>
    <col min="2054" max="2054" width="8.42578125" style="1" customWidth="1"/>
    <col min="2055" max="2055" width="10.140625" style="1" customWidth="1"/>
    <col min="2056" max="2056" width="10.5703125" style="1" customWidth="1"/>
    <col min="2057" max="2057" width="1.42578125" style="1" customWidth="1"/>
    <col min="2058" max="2058" width="1.7109375" style="1" customWidth="1"/>
    <col min="2059" max="2064" width="0" style="1" hidden="1" customWidth="1"/>
    <col min="2065" max="2065" width="10.140625" style="1" customWidth="1"/>
    <col min="2066" max="2066" width="6.5703125" style="1" customWidth="1"/>
    <col min="2067" max="2067" width="7.140625" style="1" customWidth="1"/>
    <col min="2068" max="2069" width="7.7109375" style="1" customWidth="1"/>
    <col min="2070" max="2071" width="9.140625" style="1" customWidth="1"/>
    <col min="2072" max="2072" width="1.42578125" style="1" customWidth="1"/>
    <col min="2073" max="2073" width="1.7109375" style="1" customWidth="1"/>
    <col min="2074" max="2084" width="0" style="1" hidden="1" customWidth="1"/>
    <col min="2085" max="2085" width="11.140625" style="1" customWidth="1"/>
    <col min="2086" max="2087" width="0" style="1" hidden="1" customWidth="1"/>
    <col min="2088" max="2088" width="13" style="1" customWidth="1"/>
    <col min="2089" max="2090" width="11.42578125" style="1"/>
    <col min="2091" max="2091" width="9.140625" style="1" customWidth="1"/>
    <col min="2092" max="2092" width="11.42578125" style="1"/>
    <col min="2093" max="2093" width="12.42578125" style="1" customWidth="1"/>
    <col min="2094" max="2095" width="10.7109375" style="1" customWidth="1"/>
    <col min="2096" max="2096" width="1.85546875" style="1" customWidth="1"/>
    <col min="2097" max="2097" width="2" style="1" customWidth="1"/>
    <col min="2098" max="2120" width="0" style="1" hidden="1" customWidth="1"/>
    <col min="2121" max="2121" width="13" style="1" customWidth="1"/>
    <col min="2122" max="2123" width="12.28515625" style="1" customWidth="1"/>
    <col min="2124" max="2304" width="11.42578125" style="1"/>
    <col min="2305" max="2305" width="4.42578125" style="1" customWidth="1"/>
    <col min="2306" max="2306" width="26.28515625" style="1" customWidth="1"/>
    <col min="2307" max="2307" width="8.28515625" style="1" customWidth="1"/>
    <col min="2308" max="2308" width="9.7109375" style="1" customWidth="1"/>
    <col min="2309" max="2309" width="11.140625" style="1" customWidth="1"/>
    <col min="2310" max="2310" width="8.42578125" style="1" customWidth="1"/>
    <col min="2311" max="2311" width="10.140625" style="1" customWidth="1"/>
    <col min="2312" max="2312" width="10.5703125" style="1" customWidth="1"/>
    <col min="2313" max="2313" width="1.42578125" style="1" customWidth="1"/>
    <col min="2314" max="2314" width="1.7109375" style="1" customWidth="1"/>
    <col min="2315" max="2320" width="0" style="1" hidden="1" customWidth="1"/>
    <col min="2321" max="2321" width="10.140625" style="1" customWidth="1"/>
    <col min="2322" max="2322" width="6.5703125" style="1" customWidth="1"/>
    <col min="2323" max="2323" width="7.140625" style="1" customWidth="1"/>
    <col min="2324" max="2325" width="7.7109375" style="1" customWidth="1"/>
    <col min="2326" max="2327" width="9.140625" style="1" customWidth="1"/>
    <col min="2328" max="2328" width="1.42578125" style="1" customWidth="1"/>
    <col min="2329" max="2329" width="1.7109375" style="1" customWidth="1"/>
    <col min="2330" max="2340" width="0" style="1" hidden="1" customWidth="1"/>
    <col min="2341" max="2341" width="11.140625" style="1" customWidth="1"/>
    <col min="2342" max="2343" width="0" style="1" hidden="1" customWidth="1"/>
    <col min="2344" max="2344" width="13" style="1" customWidth="1"/>
    <col min="2345" max="2346" width="11.42578125" style="1"/>
    <col min="2347" max="2347" width="9.140625" style="1" customWidth="1"/>
    <col min="2348" max="2348" width="11.42578125" style="1"/>
    <col min="2349" max="2349" width="12.42578125" style="1" customWidth="1"/>
    <col min="2350" max="2351" width="10.7109375" style="1" customWidth="1"/>
    <col min="2352" max="2352" width="1.85546875" style="1" customWidth="1"/>
    <col min="2353" max="2353" width="2" style="1" customWidth="1"/>
    <col min="2354" max="2376" width="0" style="1" hidden="1" customWidth="1"/>
    <col min="2377" max="2377" width="13" style="1" customWidth="1"/>
    <col min="2378" max="2379" width="12.28515625" style="1" customWidth="1"/>
    <col min="2380" max="2560" width="11.42578125" style="1"/>
    <col min="2561" max="2561" width="4.42578125" style="1" customWidth="1"/>
    <col min="2562" max="2562" width="26.28515625" style="1" customWidth="1"/>
    <col min="2563" max="2563" width="8.28515625" style="1" customWidth="1"/>
    <col min="2564" max="2564" width="9.7109375" style="1" customWidth="1"/>
    <col min="2565" max="2565" width="11.140625" style="1" customWidth="1"/>
    <col min="2566" max="2566" width="8.42578125" style="1" customWidth="1"/>
    <col min="2567" max="2567" width="10.140625" style="1" customWidth="1"/>
    <col min="2568" max="2568" width="10.5703125" style="1" customWidth="1"/>
    <col min="2569" max="2569" width="1.42578125" style="1" customWidth="1"/>
    <col min="2570" max="2570" width="1.7109375" style="1" customWidth="1"/>
    <col min="2571" max="2576" width="0" style="1" hidden="1" customWidth="1"/>
    <col min="2577" max="2577" width="10.140625" style="1" customWidth="1"/>
    <col min="2578" max="2578" width="6.5703125" style="1" customWidth="1"/>
    <col min="2579" max="2579" width="7.140625" style="1" customWidth="1"/>
    <col min="2580" max="2581" width="7.7109375" style="1" customWidth="1"/>
    <col min="2582" max="2583" width="9.140625" style="1" customWidth="1"/>
    <col min="2584" max="2584" width="1.42578125" style="1" customWidth="1"/>
    <col min="2585" max="2585" width="1.7109375" style="1" customWidth="1"/>
    <col min="2586" max="2596" width="0" style="1" hidden="1" customWidth="1"/>
    <col min="2597" max="2597" width="11.140625" style="1" customWidth="1"/>
    <col min="2598" max="2599" width="0" style="1" hidden="1" customWidth="1"/>
    <col min="2600" max="2600" width="13" style="1" customWidth="1"/>
    <col min="2601" max="2602" width="11.42578125" style="1"/>
    <col min="2603" max="2603" width="9.140625" style="1" customWidth="1"/>
    <col min="2604" max="2604" width="11.42578125" style="1"/>
    <col min="2605" max="2605" width="12.42578125" style="1" customWidth="1"/>
    <col min="2606" max="2607" width="10.7109375" style="1" customWidth="1"/>
    <col min="2608" max="2608" width="1.85546875" style="1" customWidth="1"/>
    <col min="2609" max="2609" width="2" style="1" customWidth="1"/>
    <col min="2610" max="2632" width="0" style="1" hidden="1" customWidth="1"/>
    <col min="2633" max="2633" width="13" style="1" customWidth="1"/>
    <col min="2634" max="2635" width="12.28515625" style="1" customWidth="1"/>
    <col min="2636" max="2816" width="11.42578125" style="1"/>
    <col min="2817" max="2817" width="4.42578125" style="1" customWidth="1"/>
    <col min="2818" max="2818" width="26.28515625" style="1" customWidth="1"/>
    <col min="2819" max="2819" width="8.28515625" style="1" customWidth="1"/>
    <col min="2820" max="2820" width="9.7109375" style="1" customWidth="1"/>
    <col min="2821" max="2821" width="11.140625" style="1" customWidth="1"/>
    <col min="2822" max="2822" width="8.42578125" style="1" customWidth="1"/>
    <col min="2823" max="2823" width="10.140625" style="1" customWidth="1"/>
    <col min="2824" max="2824" width="10.5703125" style="1" customWidth="1"/>
    <col min="2825" max="2825" width="1.42578125" style="1" customWidth="1"/>
    <col min="2826" max="2826" width="1.7109375" style="1" customWidth="1"/>
    <col min="2827" max="2832" width="0" style="1" hidden="1" customWidth="1"/>
    <col min="2833" max="2833" width="10.140625" style="1" customWidth="1"/>
    <col min="2834" max="2834" width="6.5703125" style="1" customWidth="1"/>
    <col min="2835" max="2835" width="7.140625" style="1" customWidth="1"/>
    <col min="2836" max="2837" width="7.7109375" style="1" customWidth="1"/>
    <col min="2838" max="2839" width="9.140625" style="1" customWidth="1"/>
    <col min="2840" max="2840" width="1.42578125" style="1" customWidth="1"/>
    <col min="2841" max="2841" width="1.7109375" style="1" customWidth="1"/>
    <col min="2842" max="2852" width="0" style="1" hidden="1" customWidth="1"/>
    <col min="2853" max="2853" width="11.140625" style="1" customWidth="1"/>
    <col min="2854" max="2855" width="0" style="1" hidden="1" customWidth="1"/>
    <col min="2856" max="2856" width="13" style="1" customWidth="1"/>
    <col min="2857" max="2858" width="11.42578125" style="1"/>
    <col min="2859" max="2859" width="9.140625" style="1" customWidth="1"/>
    <col min="2860" max="2860" width="11.42578125" style="1"/>
    <col min="2861" max="2861" width="12.42578125" style="1" customWidth="1"/>
    <col min="2862" max="2863" width="10.7109375" style="1" customWidth="1"/>
    <col min="2864" max="2864" width="1.85546875" style="1" customWidth="1"/>
    <col min="2865" max="2865" width="2" style="1" customWidth="1"/>
    <col min="2866" max="2888" width="0" style="1" hidden="1" customWidth="1"/>
    <col min="2889" max="2889" width="13" style="1" customWidth="1"/>
    <col min="2890" max="2891" width="12.28515625" style="1" customWidth="1"/>
    <col min="2892" max="3072" width="11.42578125" style="1"/>
    <col min="3073" max="3073" width="4.42578125" style="1" customWidth="1"/>
    <col min="3074" max="3074" width="26.28515625" style="1" customWidth="1"/>
    <col min="3075" max="3075" width="8.28515625" style="1" customWidth="1"/>
    <col min="3076" max="3076" width="9.7109375" style="1" customWidth="1"/>
    <col min="3077" max="3077" width="11.140625" style="1" customWidth="1"/>
    <col min="3078" max="3078" width="8.42578125" style="1" customWidth="1"/>
    <col min="3079" max="3079" width="10.140625" style="1" customWidth="1"/>
    <col min="3080" max="3080" width="10.5703125" style="1" customWidth="1"/>
    <col min="3081" max="3081" width="1.42578125" style="1" customWidth="1"/>
    <col min="3082" max="3082" width="1.7109375" style="1" customWidth="1"/>
    <col min="3083" max="3088" width="0" style="1" hidden="1" customWidth="1"/>
    <col min="3089" max="3089" width="10.140625" style="1" customWidth="1"/>
    <col min="3090" max="3090" width="6.5703125" style="1" customWidth="1"/>
    <col min="3091" max="3091" width="7.140625" style="1" customWidth="1"/>
    <col min="3092" max="3093" width="7.7109375" style="1" customWidth="1"/>
    <col min="3094" max="3095" width="9.140625" style="1" customWidth="1"/>
    <col min="3096" max="3096" width="1.42578125" style="1" customWidth="1"/>
    <col min="3097" max="3097" width="1.7109375" style="1" customWidth="1"/>
    <col min="3098" max="3108" width="0" style="1" hidden="1" customWidth="1"/>
    <col min="3109" max="3109" width="11.140625" style="1" customWidth="1"/>
    <col min="3110" max="3111" width="0" style="1" hidden="1" customWidth="1"/>
    <col min="3112" max="3112" width="13" style="1" customWidth="1"/>
    <col min="3113" max="3114" width="11.42578125" style="1"/>
    <col min="3115" max="3115" width="9.140625" style="1" customWidth="1"/>
    <col min="3116" max="3116" width="11.42578125" style="1"/>
    <col min="3117" max="3117" width="12.42578125" style="1" customWidth="1"/>
    <col min="3118" max="3119" width="10.7109375" style="1" customWidth="1"/>
    <col min="3120" max="3120" width="1.85546875" style="1" customWidth="1"/>
    <col min="3121" max="3121" width="2" style="1" customWidth="1"/>
    <col min="3122" max="3144" width="0" style="1" hidden="1" customWidth="1"/>
    <col min="3145" max="3145" width="13" style="1" customWidth="1"/>
    <col min="3146" max="3147" width="12.28515625" style="1" customWidth="1"/>
    <col min="3148" max="3328" width="11.42578125" style="1"/>
    <col min="3329" max="3329" width="4.42578125" style="1" customWidth="1"/>
    <col min="3330" max="3330" width="26.28515625" style="1" customWidth="1"/>
    <col min="3331" max="3331" width="8.28515625" style="1" customWidth="1"/>
    <col min="3332" max="3332" width="9.7109375" style="1" customWidth="1"/>
    <col min="3333" max="3333" width="11.140625" style="1" customWidth="1"/>
    <col min="3334" max="3334" width="8.42578125" style="1" customWidth="1"/>
    <col min="3335" max="3335" width="10.140625" style="1" customWidth="1"/>
    <col min="3336" max="3336" width="10.5703125" style="1" customWidth="1"/>
    <col min="3337" max="3337" width="1.42578125" style="1" customWidth="1"/>
    <col min="3338" max="3338" width="1.7109375" style="1" customWidth="1"/>
    <col min="3339" max="3344" width="0" style="1" hidden="1" customWidth="1"/>
    <col min="3345" max="3345" width="10.140625" style="1" customWidth="1"/>
    <col min="3346" max="3346" width="6.5703125" style="1" customWidth="1"/>
    <col min="3347" max="3347" width="7.140625" style="1" customWidth="1"/>
    <col min="3348" max="3349" width="7.7109375" style="1" customWidth="1"/>
    <col min="3350" max="3351" width="9.140625" style="1" customWidth="1"/>
    <col min="3352" max="3352" width="1.42578125" style="1" customWidth="1"/>
    <col min="3353" max="3353" width="1.7109375" style="1" customWidth="1"/>
    <col min="3354" max="3364" width="0" style="1" hidden="1" customWidth="1"/>
    <col min="3365" max="3365" width="11.140625" style="1" customWidth="1"/>
    <col min="3366" max="3367" width="0" style="1" hidden="1" customWidth="1"/>
    <col min="3368" max="3368" width="13" style="1" customWidth="1"/>
    <col min="3369" max="3370" width="11.42578125" style="1"/>
    <col min="3371" max="3371" width="9.140625" style="1" customWidth="1"/>
    <col min="3372" max="3372" width="11.42578125" style="1"/>
    <col min="3373" max="3373" width="12.42578125" style="1" customWidth="1"/>
    <col min="3374" max="3375" width="10.7109375" style="1" customWidth="1"/>
    <col min="3376" max="3376" width="1.85546875" style="1" customWidth="1"/>
    <col min="3377" max="3377" width="2" style="1" customWidth="1"/>
    <col min="3378" max="3400" width="0" style="1" hidden="1" customWidth="1"/>
    <col min="3401" max="3401" width="13" style="1" customWidth="1"/>
    <col min="3402" max="3403" width="12.28515625" style="1" customWidth="1"/>
    <col min="3404" max="3584" width="11.42578125" style="1"/>
    <col min="3585" max="3585" width="4.42578125" style="1" customWidth="1"/>
    <col min="3586" max="3586" width="26.28515625" style="1" customWidth="1"/>
    <col min="3587" max="3587" width="8.28515625" style="1" customWidth="1"/>
    <col min="3588" max="3588" width="9.7109375" style="1" customWidth="1"/>
    <col min="3589" max="3589" width="11.140625" style="1" customWidth="1"/>
    <col min="3590" max="3590" width="8.42578125" style="1" customWidth="1"/>
    <col min="3591" max="3591" width="10.140625" style="1" customWidth="1"/>
    <col min="3592" max="3592" width="10.5703125" style="1" customWidth="1"/>
    <col min="3593" max="3593" width="1.42578125" style="1" customWidth="1"/>
    <col min="3594" max="3594" width="1.7109375" style="1" customWidth="1"/>
    <col min="3595" max="3600" width="0" style="1" hidden="1" customWidth="1"/>
    <col min="3601" max="3601" width="10.140625" style="1" customWidth="1"/>
    <col min="3602" max="3602" width="6.5703125" style="1" customWidth="1"/>
    <col min="3603" max="3603" width="7.140625" style="1" customWidth="1"/>
    <col min="3604" max="3605" width="7.7109375" style="1" customWidth="1"/>
    <col min="3606" max="3607" width="9.140625" style="1" customWidth="1"/>
    <col min="3608" max="3608" width="1.42578125" style="1" customWidth="1"/>
    <col min="3609" max="3609" width="1.7109375" style="1" customWidth="1"/>
    <col min="3610" max="3620" width="0" style="1" hidden="1" customWidth="1"/>
    <col min="3621" max="3621" width="11.140625" style="1" customWidth="1"/>
    <col min="3622" max="3623" width="0" style="1" hidden="1" customWidth="1"/>
    <col min="3624" max="3624" width="13" style="1" customWidth="1"/>
    <col min="3625" max="3626" width="11.42578125" style="1"/>
    <col min="3627" max="3627" width="9.140625" style="1" customWidth="1"/>
    <col min="3628" max="3628" width="11.42578125" style="1"/>
    <col min="3629" max="3629" width="12.42578125" style="1" customWidth="1"/>
    <col min="3630" max="3631" width="10.7109375" style="1" customWidth="1"/>
    <col min="3632" max="3632" width="1.85546875" style="1" customWidth="1"/>
    <col min="3633" max="3633" width="2" style="1" customWidth="1"/>
    <col min="3634" max="3656" width="0" style="1" hidden="1" customWidth="1"/>
    <col min="3657" max="3657" width="13" style="1" customWidth="1"/>
    <col min="3658" max="3659" width="12.28515625" style="1" customWidth="1"/>
    <col min="3660" max="3840" width="11.42578125" style="1"/>
    <col min="3841" max="3841" width="4.42578125" style="1" customWidth="1"/>
    <col min="3842" max="3842" width="26.28515625" style="1" customWidth="1"/>
    <col min="3843" max="3843" width="8.28515625" style="1" customWidth="1"/>
    <col min="3844" max="3844" width="9.7109375" style="1" customWidth="1"/>
    <col min="3845" max="3845" width="11.140625" style="1" customWidth="1"/>
    <col min="3846" max="3846" width="8.42578125" style="1" customWidth="1"/>
    <col min="3847" max="3847" width="10.140625" style="1" customWidth="1"/>
    <col min="3848" max="3848" width="10.5703125" style="1" customWidth="1"/>
    <col min="3849" max="3849" width="1.42578125" style="1" customWidth="1"/>
    <col min="3850" max="3850" width="1.7109375" style="1" customWidth="1"/>
    <col min="3851" max="3856" width="0" style="1" hidden="1" customWidth="1"/>
    <col min="3857" max="3857" width="10.140625" style="1" customWidth="1"/>
    <col min="3858" max="3858" width="6.5703125" style="1" customWidth="1"/>
    <col min="3859" max="3859" width="7.140625" style="1" customWidth="1"/>
    <col min="3860" max="3861" width="7.7109375" style="1" customWidth="1"/>
    <col min="3862" max="3863" width="9.140625" style="1" customWidth="1"/>
    <col min="3864" max="3864" width="1.42578125" style="1" customWidth="1"/>
    <col min="3865" max="3865" width="1.7109375" style="1" customWidth="1"/>
    <col min="3866" max="3876" width="0" style="1" hidden="1" customWidth="1"/>
    <col min="3877" max="3877" width="11.140625" style="1" customWidth="1"/>
    <col min="3878" max="3879" width="0" style="1" hidden="1" customWidth="1"/>
    <col min="3880" max="3880" width="13" style="1" customWidth="1"/>
    <col min="3881" max="3882" width="11.42578125" style="1"/>
    <col min="3883" max="3883" width="9.140625" style="1" customWidth="1"/>
    <col min="3884" max="3884" width="11.42578125" style="1"/>
    <col min="3885" max="3885" width="12.42578125" style="1" customWidth="1"/>
    <col min="3886" max="3887" width="10.7109375" style="1" customWidth="1"/>
    <col min="3888" max="3888" width="1.85546875" style="1" customWidth="1"/>
    <col min="3889" max="3889" width="2" style="1" customWidth="1"/>
    <col min="3890" max="3912" width="0" style="1" hidden="1" customWidth="1"/>
    <col min="3913" max="3913" width="13" style="1" customWidth="1"/>
    <col min="3914" max="3915" width="12.28515625" style="1" customWidth="1"/>
    <col min="3916" max="4096" width="11.42578125" style="1"/>
    <col min="4097" max="4097" width="4.42578125" style="1" customWidth="1"/>
    <col min="4098" max="4098" width="26.28515625" style="1" customWidth="1"/>
    <col min="4099" max="4099" width="8.28515625" style="1" customWidth="1"/>
    <col min="4100" max="4100" width="9.7109375" style="1" customWidth="1"/>
    <col min="4101" max="4101" width="11.140625" style="1" customWidth="1"/>
    <col min="4102" max="4102" width="8.42578125" style="1" customWidth="1"/>
    <col min="4103" max="4103" width="10.140625" style="1" customWidth="1"/>
    <col min="4104" max="4104" width="10.5703125" style="1" customWidth="1"/>
    <col min="4105" max="4105" width="1.42578125" style="1" customWidth="1"/>
    <col min="4106" max="4106" width="1.7109375" style="1" customWidth="1"/>
    <col min="4107" max="4112" width="0" style="1" hidden="1" customWidth="1"/>
    <col min="4113" max="4113" width="10.140625" style="1" customWidth="1"/>
    <col min="4114" max="4114" width="6.5703125" style="1" customWidth="1"/>
    <col min="4115" max="4115" width="7.140625" style="1" customWidth="1"/>
    <col min="4116" max="4117" width="7.7109375" style="1" customWidth="1"/>
    <col min="4118" max="4119" width="9.140625" style="1" customWidth="1"/>
    <col min="4120" max="4120" width="1.42578125" style="1" customWidth="1"/>
    <col min="4121" max="4121" width="1.7109375" style="1" customWidth="1"/>
    <col min="4122" max="4132" width="0" style="1" hidden="1" customWidth="1"/>
    <col min="4133" max="4133" width="11.140625" style="1" customWidth="1"/>
    <col min="4134" max="4135" width="0" style="1" hidden="1" customWidth="1"/>
    <col min="4136" max="4136" width="13" style="1" customWidth="1"/>
    <col min="4137" max="4138" width="11.42578125" style="1"/>
    <col min="4139" max="4139" width="9.140625" style="1" customWidth="1"/>
    <col min="4140" max="4140" width="11.42578125" style="1"/>
    <col min="4141" max="4141" width="12.42578125" style="1" customWidth="1"/>
    <col min="4142" max="4143" width="10.7109375" style="1" customWidth="1"/>
    <col min="4144" max="4144" width="1.85546875" style="1" customWidth="1"/>
    <col min="4145" max="4145" width="2" style="1" customWidth="1"/>
    <col min="4146" max="4168" width="0" style="1" hidden="1" customWidth="1"/>
    <col min="4169" max="4169" width="13" style="1" customWidth="1"/>
    <col min="4170" max="4171" width="12.28515625" style="1" customWidth="1"/>
    <col min="4172" max="4352" width="11.42578125" style="1"/>
    <col min="4353" max="4353" width="4.42578125" style="1" customWidth="1"/>
    <col min="4354" max="4354" width="26.28515625" style="1" customWidth="1"/>
    <col min="4355" max="4355" width="8.28515625" style="1" customWidth="1"/>
    <col min="4356" max="4356" width="9.7109375" style="1" customWidth="1"/>
    <col min="4357" max="4357" width="11.140625" style="1" customWidth="1"/>
    <col min="4358" max="4358" width="8.42578125" style="1" customWidth="1"/>
    <col min="4359" max="4359" width="10.140625" style="1" customWidth="1"/>
    <col min="4360" max="4360" width="10.5703125" style="1" customWidth="1"/>
    <col min="4361" max="4361" width="1.42578125" style="1" customWidth="1"/>
    <col min="4362" max="4362" width="1.7109375" style="1" customWidth="1"/>
    <col min="4363" max="4368" width="0" style="1" hidden="1" customWidth="1"/>
    <col min="4369" max="4369" width="10.140625" style="1" customWidth="1"/>
    <col min="4370" max="4370" width="6.5703125" style="1" customWidth="1"/>
    <col min="4371" max="4371" width="7.140625" style="1" customWidth="1"/>
    <col min="4372" max="4373" width="7.7109375" style="1" customWidth="1"/>
    <col min="4374" max="4375" width="9.140625" style="1" customWidth="1"/>
    <col min="4376" max="4376" width="1.42578125" style="1" customWidth="1"/>
    <col min="4377" max="4377" width="1.7109375" style="1" customWidth="1"/>
    <col min="4378" max="4388" width="0" style="1" hidden="1" customWidth="1"/>
    <col min="4389" max="4389" width="11.140625" style="1" customWidth="1"/>
    <col min="4390" max="4391" width="0" style="1" hidden="1" customWidth="1"/>
    <col min="4392" max="4392" width="13" style="1" customWidth="1"/>
    <col min="4393" max="4394" width="11.42578125" style="1"/>
    <col min="4395" max="4395" width="9.140625" style="1" customWidth="1"/>
    <col min="4396" max="4396" width="11.42578125" style="1"/>
    <col min="4397" max="4397" width="12.42578125" style="1" customWidth="1"/>
    <col min="4398" max="4399" width="10.7109375" style="1" customWidth="1"/>
    <col min="4400" max="4400" width="1.85546875" style="1" customWidth="1"/>
    <col min="4401" max="4401" width="2" style="1" customWidth="1"/>
    <col min="4402" max="4424" width="0" style="1" hidden="1" customWidth="1"/>
    <col min="4425" max="4425" width="13" style="1" customWidth="1"/>
    <col min="4426" max="4427" width="12.28515625" style="1" customWidth="1"/>
    <col min="4428" max="4608" width="11.42578125" style="1"/>
    <col min="4609" max="4609" width="4.42578125" style="1" customWidth="1"/>
    <col min="4610" max="4610" width="26.28515625" style="1" customWidth="1"/>
    <col min="4611" max="4611" width="8.28515625" style="1" customWidth="1"/>
    <col min="4612" max="4612" width="9.7109375" style="1" customWidth="1"/>
    <col min="4613" max="4613" width="11.140625" style="1" customWidth="1"/>
    <col min="4614" max="4614" width="8.42578125" style="1" customWidth="1"/>
    <col min="4615" max="4615" width="10.140625" style="1" customWidth="1"/>
    <col min="4616" max="4616" width="10.5703125" style="1" customWidth="1"/>
    <col min="4617" max="4617" width="1.42578125" style="1" customWidth="1"/>
    <col min="4618" max="4618" width="1.7109375" style="1" customWidth="1"/>
    <col min="4619" max="4624" width="0" style="1" hidden="1" customWidth="1"/>
    <col min="4625" max="4625" width="10.140625" style="1" customWidth="1"/>
    <col min="4626" max="4626" width="6.5703125" style="1" customWidth="1"/>
    <col min="4627" max="4627" width="7.140625" style="1" customWidth="1"/>
    <col min="4628" max="4629" width="7.7109375" style="1" customWidth="1"/>
    <col min="4630" max="4631" width="9.140625" style="1" customWidth="1"/>
    <col min="4632" max="4632" width="1.42578125" style="1" customWidth="1"/>
    <col min="4633" max="4633" width="1.7109375" style="1" customWidth="1"/>
    <col min="4634" max="4644" width="0" style="1" hidden="1" customWidth="1"/>
    <col min="4645" max="4645" width="11.140625" style="1" customWidth="1"/>
    <col min="4646" max="4647" width="0" style="1" hidden="1" customWidth="1"/>
    <col min="4648" max="4648" width="13" style="1" customWidth="1"/>
    <col min="4649" max="4650" width="11.42578125" style="1"/>
    <col min="4651" max="4651" width="9.140625" style="1" customWidth="1"/>
    <col min="4652" max="4652" width="11.42578125" style="1"/>
    <col min="4653" max="4653" width="12.42578125" style="1" customWidth="1"/>
    <col min="4654" max="4655" width="10.7109375" style="1" customWidth="1"/>
    <col min="4656" max="4656" width="1.85546875" style="1" customWidth="1"/>
    <col min="4657" max="4657" width="2" style="1" customWidth="1"/>
    <col min="4658" max="4680" width="0" style="1" hidden="1" customWidth="1"/>
    <col min="4681" max="4681" width="13" style="1" customWidth="1"/>
    <col min="4682" max="4683" width="12.28515625" style="1" customWidth="1"/>
    <col min="4684" max="4864" width="11.42578125" style="1"/>
    <col min="4865" max="4865" width="4.42578125" style="1" customWidth="1"/>
    <col min="4866" max="4866" width="26.28515625" style="1" customWidth="1"/>
    <col min="4867" max="4867" width="8.28515625" style="1" customWidth="1"/>
    <col min="4868" max="4868" width="9.7109375" style="1" customWidth="1"/>
    <col min="4869" max="4869" width="11.140625" style="1" customWidth="1"/>
    <col min="4870" max="4870" width="8.42578125" style="1" customWidth="1"/>
    <col min="4871" max="4871" width="10.140625" style="1" customWidth="1"/>
    <col min="4872" max="4872" width="10.5703125" style="1" customWidth="1"/>
    <col min="4873" max="4873" width="1.42578125" style="1" customWidth="1"/>
    <col min="4874" max="4874" width="1.7109375" style="1" customWidth="1"/>
    <col min="4875" max="4880" width="0" style="1" hidden="1" customWidth="1"/>
    <col min="4881" max="4881" width="10.140625" style="1" customWidth="1"/>
    <col min="4882" max="4882" width="6.5703125" style="1" customWidth="1"/>
    <col min="4883" max="4883" width="7.140625" style="1" customWidth="1"/>
    <col min="4884" max="4885" width="7.7109375" style="1" customWidth="1"/>
    <col min="4886" max="4887" width="9.140625" style="1" customWidth="1"/>
    <col min="4888" max="4888" width="1.42578125" style="1" customWidth="1"/>
    <col min="4889" max="4889" width="1.7109375" style="1" customWidth="1"/>
    <col min="4890" max="4900" width="0" style="1" hidden="1" customWidth="1"/>
    <col min="4901" max="4901" width="11.140625" style="1" customWidth="1"/>
    <col min="4902" max="4903" width="0" style="1" hidden="1" customWidth="1"/>
    <col min="4904" max="4904" width="13" style="1" customWidth="1"/>
    <col min="4905" max="4906" width="11.42578125" style="1"/>
    <col min="4907" max="4907" width="9.140625" style="1" customWidth="1"/>
    <col min="4908" max="4908" width="11.42578125" style="1"/>
    <col min="4909" max="4909" width="12.42578125" style="1" customWidth="1"/>
    <col min="4910" max="4911" width="10.7109375" style="1" customWidth="1"/>
    <col min="4912" max="4912" width="1.85546875" style="1" customWidth="1"/>
    <col min="4913" max="4913" width="2" style="1" customWidth="1"/>
    <col min="4914" max="4936" width="0" style="1" hidden="1" customWidth="1"/>
    <col min="4937" max="4937" width="13" style="1" customWidth="1"/>
    <col min="4938" max="4939" width="12.28515625" style="1" customWidth="1"/>
    <col min="4940" max="5120" width="11.42578125" style="1"/>
    <col min="5121" max="5121" width="4.42578125" style="1" customWidth="1"/>
    <col min="5122" max="5122" width="26.28515625" style="1" customWidth="1"/>
    <col min="5123" max="5123" width="8.28515625" style="1" customWidth="1"/>
    <col min="5124" max="5124" width="9.7109375" style="1" customWidth="1"/>
    <col min="5125" max="5125" width="11.140625" style="1" customWidth="1"/>
    <col min="5126" max="5126" width="8.42578125" style="1" customWidth="1"/>
    <col min="5127" max="5127" width="10.140625" style="1" customWidth="1"/>
    <col min="5128" max="5128" width="10.5703125" style="1" customWidth="1"/>
    <col min="5129" max="5129" width="1.42578125" style="1" customWidth="1"/>
    <col min="5130" max="5130" width="1.7109375" style="1" customWidth="1"/>
    <col min="5131" max="5136" width="0" style="1" hidden="1" customWidth="1"/>
    <col min="5137" max="5137" width="10.140625" style="1" customWidth="1"/>
    <col min="5138" max="5138" width="6.5703125" style="1" customWidth="1"/>
    <col min="5139" max="5139" width="7.140625" style="1" customWidth="1"/>
    <col min="5140" max="5141" width="7.7109375" style="1" customWidth="1"/>
    <col min="5142" max="5143" width="9.140625" style="1" customWidth="1"/>
    <col min="5144" max="5144" width="1.42578125" style="1" customWidth="1"/>
    <col min="5145" max="5145" width="1.7109375" style="1" customWidth="1"/>
    <col min="5146" max="5156" width="0" style="1" hidden="1" customWidth="1"/>
    <col min="5157" max="5157" width="11.140625" style="1" customWidth="1"/>
    <col min="5158" max="5159" width="0" style="1" hidden="1" customWidth="1"/>
    <col min="5160" max="5160" width="13" style="1" customWidth="1"/>
    <col min="5161" max="5162" width="11.42578125" style="1"/>
    <col min="5163" max="5163" width="9.140625" style="1" customWidth="1"/>
    <col min="5164" max="5164" width="11.42578125" style="1"/>
    <col min="5165" max="5165" width="12.42578125" style="1" customWidth="1"/>
    <col min="5166" max="5167" width="10.7109375" style="1" customWidth="1"/>
    <col min="5168" max="5168" width="1.85546875" style="1" customWidth="1"/>
    <col min="5169" max="5169" width="2" style="1" customWidth="1"/>
    <col min="5170" max="5192" width="0" style="1" hidden="1" customWidth="1"/>
    <col min="5193" max="5193" width="13" style="1" customWidth="1"/>
    <col min="5194" max="5195" width="12.28515625" style="1" customWidth="1"/>
    <col min="5196" max="5376" width="11.42578125" style="1"/>
    <col min="5377" max="5377" width="4.42578125" style="1" customWidth="1"/>
    <col min="5378" max="5378" width="26.28515625" style="1" customWidth="1"/>
    <col min="5379" max="5379" width="8.28515625" style="1" customWidth="1"/>
    <col min="5380" max="5380" width="9.7109375" style="1" customWidth="1"/>
    <col min="5381" max="5381" width="11.140625" style="1" customWidth="1"/>
    <col min="5382" max="5382" width="8.42578125" style="1" customWidth="1"/>
    <col min="5383" max="5383" width="10.140625" style="1" customWidth="1"/>
    <col min="5384" max="5384" width="10.5703125" style="1" customWidth="1"/>
    <col min="5385" max="5385" width="1.42578125" style="1" customWidth="1"/>
    <col min="5386" max="5386" width="1.7109375" style="1" customWidth="1"/>
    <col min="5387" max="5392" width="0" style="1" hidden="1" customWidth="1"/>
    <col min="5393" max="5393" width="10.140625" style="1" customWidth="1"/>
    <col min="5394" max="5394" width="6.5703125" style="1" customWidth="1"/>
    <col min="5395" max="5395" width="7.140625" style="1" customWidth="1"/>
    <col min="5396" max="5397" width="7.7109375" style="1" customWidth="1"/>
    <col min="5398" max="5399" width="9.140625" style="1" customWidth="1"/>
    <col min="5400" max="5400" width="1.42578125" style="1" customWidth="1"/>
    <col min="5401" max="5401" width="1.7109375" style="1" customWidth="1"/>
    <col min="5402" max="5412" width="0" style="1" hidden="1" customWidth="1"/>
    <col min="5413" max="5413" width="11.140625" style="1" customWidth="1"/>
    <col min="5414" max="5415" width="0" style="1" hidden="1" customWidth="1"/>
    <col min="5416" max="5416" width="13" style="1" customWidth="1"/>
    <col min="5417" max="5418" width="11.42578125" style="1"/>
    <col min="5419" max="5419" width="9.140625" style="1" customWidth="1"/>
    <col min="5420" max="5420" width="11.42578125" style="1"/>
    <col min="5421" max="5421" width="12.42578125" style="1" customWidth="1"/>
    <col min="5422" max="5423" width="10.7109375" style="1" customWidth="1"/>
    <col min="5424" max="5424" width="1.85546875" style="1" customWidth="1"/>
    <col min="5425" max="5425" width="2" style="1" customWidth="1"/>
    <col min="5426" max="5448" width="0" style="1" hidden="1" customWidth="1"/>
    <col min="5449" max="5449" width="13" style="1" customWidth="1"/>
    <col min="5450" max="5451" width="12.28515625" style="1" customWidth="1"/>
    <col min="5452" max="5632" width="11.42578125" style="1"/>
    <col min="5633" max="5633" width="4.42578125" style="1" customWidth="1"/>
    <col min="5634" max="5634" width="26.28515625" style="1" customWidth="1"/>
    <col min="5635" max="5635" width="8.28515625" style="1" customWidth="1"/>
    <col min="5636" max="5636" width="9.7109375" style="1" customWidth="1"/>
    <col min="5637" max="5637" width="11.140625" style="1" customWidth="1"/>
    <col min="5638" max="5638" width="8.42578125" style="1" customWidth="1"/>
    <col min="5639" max="5639" width="10.140625" style="1" customWidth="1"/>
    <col min="5640" max="5640" width="10.5703125" style="1" customWidth="1"/>
    <col min="5641" max="5641" width="1.42578125" style="1" customWidth="1"/>
    <col min="5642" max="5642" width="1.7109375" style="1" customWidth="1"/>
    <col min="5643" max="5648" width="0" style="1" hidden="1" customWidth="1"/>
    <col min="5649" max="5649" width="10.140625" style="1" customWidth="1"/>
    <col min="5650" max="5650" width="6.5703125" style="1" customWidth="1"/>
    <col min="5651" max="5651" width="7.140625" style="1" customWidth="1"/>
    <col min="5652" max="5653" width="7.7109375" style="1" customWidth="1"/>
    <col min="5654" max="5655" width="9.140625" style="1" customWidth="1"/>
    <col min="5656" max="5656" width="1.42578125" style="1" customWidth="1"/>
    <col min="5657" max="5657" width="1.7109375" style="1" customWidth="1"/>
    <col min="5658" max="5668" width="0" style="1" hidden="1" customWidth="1"/>
    <col min="5669" max="5669" width="11.140625" style="1" customWidth="1"/>
    <col min="5670" max="5671" width="0" style="1" hidden="1" customWidth="1"/>
    <col min="5672" max="5672" width="13" style="1" customWidth="1"/>
    <col min="5673" max="5674" width="11.42578125" style="1"/>
    <col min="5675" max="5675" width="9.140625" style="1" customWidth="1"/>
    <col min="5676" max="5676" width="11.42578125" style="1"/>
    <col min="5677" max="5677" width="12.42578125" style="1" customWidth="1"/>
    <col min="5678" max="5679" width="10.7109375" style="1" customWidth="1"/>
    <col min="5680" max="5680" width="1.85546875" style="1" customWidth="1"/>
    <col min="5681" max="5681" width="2" style="1" customWidth="1"/>
    <col min="5682" max="5704" width="0" style="1" hidden="1" customWidth="1"/>
    <col min="5705" max="5705" width="13" style="1" customWidth="1"/>
    <col min="5706" max="5707" width="12.28515625" style="1" customWidth="1"/>
    <col min="5708" max="5888" width="11.42578125" style="1"/>
    <col min="5889" max="5889" width="4.42578125" style="1" customWidth="1"/>
    <col min="5890" max="5890" width="26.28515625" style="1" customWidth="1"/>
    <col min="5891" max="5891" width="8.28515625" style="1" customWidth="1"/>
    <col min="5892" max="5892" width="9.7109375" style="1" customWidth="1"/>
    <col min="5893" max="5893" width="11.140625" style="1" customWidth="1"/>
    <col min="5894" max="5894" width="8.42578125" style="1" customWidth="1"/>
    <col min="5895" max="5895" width="10.140625" style="1" customWidth="1"/>
    <col min="5896" max="5896" width="10.5703125" style="1" customWidth="1"/>
    <col min="5897" max="5897" width="1.42578125" style="1" customWidth="1"/>
    <col min="5898" max="5898" width="1.7109375" style="1" customWidth="1"/>
    <col min="5899" max="5904" width="0" style="1" hidden="1" customWidth="1"/>
    <col min="5905" max="5905" width="10.140625" style="1" customWidth="1"/>
    <col min="5906" max="5906" width="6.5703125" style="1" customWidth="1"/>
    <col min="5907" max="5907" width="7.140625" style="1" customWidth="1"/>
    <col min="5908" max="5909" width="7.7109375" style="1" customWidth="1"/>
    <col min="5910" max="5911" width="9.140625" style="1" customWidth="1"/>
    <col min="5912" max="5912" width="1.42578125" style="1" customWidth="1"/>
    <col min="5913" max="5913" width="1.7109375" style="1" customWidth="1"/>
    <col min="5914" max="5924" width="0" style="1" hidden="1" customWidth="1"/>
    <col min="5925" max="5925" width="11.140625" style="1" customWidth="1"/>
    <col min="5926" max="5927" width="0" style="1" hidden="1" customWidth="1"/>
    <col min="5928" max="5928" width="13" style="1" customWidth="1"/>
    <col min="5929" max="5930" width="11.42578125" style="1"/>
    <col min="5931" max="5931" width="9.140625" style="1" customWidth="1"/>
    <col min="5932" max="5932" width="11.42578125" style="1"/>
    <col min="5933" max="5933" width="12.42578125" style="1" customWidth="1"/>
    <col min="5934" max="5935" width="10.7109375" style="1" customWidth="1"/>
    <col min="5936" max="5936" width="1.85546875" style="1" customWidth="1"/>
    <col min="5937" max="5937" width="2" style="1" customWidth="1"/>
    <col min="5938" max="5960" width="0" style="1" hidden="1" customWidth="1"/>
    <col min="5961" max="5961" width="13" style="1" customWidth="1"/>
    <col min="5962" max="5963" width="12.28515625" style="1" customWidth="1"/>
    <col min="5964" max="6144" width="11.42578125" style="1"/>
    <col min="6145" max="6145" width="4.42578125" style="1" customWidth="1"/>
    <col min="6146" max="6146" width="26.28515625" style="1" customWidth="1"/>
    <col min="6147" max="6147" width="8.28515625" style="1" customWidth="1"/>
    <col min="6148" max="6148" width="9.7109375" style="1" customWidth="1"/>
    <col min="6149" max="6149" width="11.140625" style="1" customWidth="1"/>
    <col min="6150" max="6150" width="8.42578125" style="1" customWidth="1"/>
    <col min="6151" max="6151" width="10.140625" style="1" customWidth="1"/>
    <col min="6152" max="6152" width="10.5703125" style="1" customWidth="1"/>
    <col min="6153" max="6153" width="1.42578125" style="1" customWidth="1"/>
    <col min="6154" max="6154" width="1.7109375" style="1" customWidth="1"/>
    <col min="6155" max="6160" width="0" style="1" hidden="1" customWidth="1"/>
    <col min="6161" max="6161" width="10.140625" style="1" customWidth="1"/>
    <col min="6162" max="6162" width="6.5703125" style="1" customWidth="1"/>
    <col min="6163" max="6163" width="7.140625" style="1" customWidth="1"/>
    <col min="6164" max="6165" width="7.7109375" style="1" customWidth="1"/>
    <col min="6166" max="6167" width="9.140625" style="1" customWidth="1"/>
    <col min="6168" max="6168" width="1.42578125" style="1" customWidth="1"/>
    <col min="6169" max="6169" width="1.7109375" style="1" customWidth="1"/>
    <col min="6170" max="6180" width="0" style="1" hidden="1" customWidth="1"/>
    <col min="6181" max="6181" width="11.140625" style="1" customWidth="1"/>
    <col min="6182" max="6183" width="0" style="1" hidden="1" customWidth="1"/>
    <col min="6184" max="6184" width="13" style="1" customWidth="1"/>
    <col min="6185" max="6186" width="11.42578125" style="1"/>
    <col min="6187" max="6187" width="9.140625" style="1" customWidth="1"/>
    <col min="6188" max="6188" width="11.42578125" style="1"/>
    <col min="6189" max="6189" width="12.42578125" style="1" customWidth="1"/>
    <col min="6190" max="6191" width="10.7109375" style="1" customWidth="1"/>
    <col min="6192" max="6192" width="1.85546875" style="1" customWidth="1"/>
    <col min="6193" max="6193" width="2" style="1" customWidth="1"/>
    <col min="6194" max="6216" width="0" style="1" hidden="1" customWidth="1"/>
    <col min="6217" max="6217" width="13" style="1" customWidth="1"/>
    <col min="6218" max="6219" width="12.28515625" style="1" customWidth="1"/>
    <col min="6220" max="6400" width="11.42578125" style="1"/>
    <col min="6401" max="6401" width="4.42578125" style="1" customWidth="1"/>
    <col min="6402" max="6402" width="26.28515625" style="1" customWidth="1"/>
    <col min="6403" max="6403" width="8.28515625" style="1" customWidth="1"/>
    <col min="6404" max="6404" width="9.7109375" style="1" customWidth="1"/>
    <col min="6405" max="6405" width="11.140625" style="1" customWidth="1"/>
    <col min="6406" max="6406" width="8.42578125" style="1" customWidth="1"/>
    <col min="6407" max="6407" width="10.140625" style="1" customWidth="1"/>
    <col min="6408" max="6408" width="10.5703125" style="1" customWidth="1"/>
    <col min="6409" max="6409" width="1.42578125" style="1" customWidth="1"/>
    <col min="6410" max="6410" width="1.7109375" style="1" customWidth="1"/>
    <col min="6411" max="6416" width="0" style="1" hidden="1" customWidth="1"/>
    <col min="6417" max="6417" width="10.140625" style="1" customWidth="1"/>
    <col min="6418" max="6418" width="6.5703125" style="1" customWidth="1"/>
    <col min="6419" max="6419" width="7.140625" style="1" customWidth="1"/>
    <col min="6420" max="6421" width="7.7109375" style="1" customWidth="1"/>
    <col min="6422" max="6423" width="9.140625" style="1" customWidth="1"/>
    <col min="6424" max="6424" width="1.42578125" style="1" customWidth="1"/>
    <col min="6425" max="6425" width="1.7109375" style="1" customWidth="1"/>
    <col min="6426" max="6436" width="0" style="1" hidden="1" customWidth="1"/>
    <col min="6437" max="6437" width="11.140625" style="1" customWidth="1"/>
    <col min="6438" max="6439" width="0" style="1" hidden="1" customWidth="1"/>
    <col min="6440" max="6440" width="13" style="1" customWidth="1"/>
    <col min="6441" max="6442" width="11.42578125" style="1"/>
    <col min="6443" max="6443" width="9.140625" style="1" customWidth="1"/>
    <col min="6444" max="6444" width="11.42578125" style="1"/>
    <col min="6445" max="6445" width="12.42578125" style="1" customWidth="1"/>
    <col min="6446" max="6447" width="10.7109375" style="1" customWidth="1"/>
    <col min="6448" max="6448" width="1.85546875" style="1" customWidth="1"/>
    <col min="6449" max="6449" width="2" style="1" customWidth="1"/>
    <col min="6450" max="6472" width="0" style="1" hidden="1" customWidth="1"/>
    <col min="6473" max="6473" width="13" style="1" customWidth="1"/>
    <col min="6474" max="6475" width="12.28515625" style="1" customWidth="1"/>
    <col min="6476" max="6656" width="11.42578125" style="1"/>
    <col min="6657" max="6657" width="4.42578125" style="1" customWidth="1"/>
    <col min="6658" max="6658" width="26.28515625" style="1" customWidth="1"/>
    <col min="6659" max="6659" width="8.28515625" style="1" customWidth="1"/>
    <col min="6660" max="6660" width="9.7109375" style="1" customWidth="1"/>
    <col min="6661" max="6661" width="11.140625" style="1" customWidth="1"/>
    <col min="6662" max="6662" width="8.42578125" style="1" customWidth="1"/>
    <col min="6663" max="6663" width="10.140625" style="1" customWidth="1"/>
    <col min="6664" max="6664" width="10.5703125" style="1" customWidth="1"/>
    <col min="6665" max="6665" width="1.42578125" style="1" customWidth="1"/>
    <col min="6666" max="6666" width="1.7109375" style="1" customWidth="1"/>
    <col min="6667" max="6672" width="0" style="1" hidden="1" customWidth="1"/>
    <col min="6673" max="6673" width="10.140625" style="1" customWidth="1"/>
    <col min="6674" max="6674" width="6.5703125" style="1" customWidth="1"/>
    <col min="6675" max="6675" width="7.140625" style="1" customWidth="1"/>
    <col min="6676" max="6677" width="7.7109375" style="1" customWidth="1"/>
    <col min="6678" max="6679" width="9.140625" style="1" customWidth="1"/>
    <col min="6680" max="6680" width="1.42578125" style="1" customWidth="1"/>
    <col min="6681" max="6681" width="1.7109375" style="1" customWidth="1"/>
    <col min="6682" max="6692" width="0" style="1" hidden="1" customWidth="1"/>
    <col min="6693" max="6693" width="11.140625" style="1" customWidth="1"/>
    <col min="6694" max="6695" width="0" style="1" hidden="1" customWidth="1"/>
    <col min="6696" max="6696" width="13" style="1" customWidth="1"/>
    <col min="6697" max="6698" width="11.42578125" style="1"/>
    <col min="6699" max="6699" width="9.140625" style="1" customWidth="1"/>
    <col min="6700" max="6700" width="11.42578125" style="1"/>
    <col min="6701" max="6701" width="12.42578125" style="1" customWidth="1"/>
    <col min="6702" max="6703" width="10.7109375" style="1" customWidth="1"/>
    <col min="6704" max="6704" width="1.85546875" style="1" customWidth="1"/>
    <col min="6705" max="6705" width="2" style="1" customWidth="1"/>
    <col min="6706" max="6728" width="0" style="1" hidden="1" customWidth="1"/>
    <col min="6729" max="6729" width="13" style="1" customWidth="1"/>
    <col min="6730" max="6731" width="12.28515625" style="1" customWidth="1"/>
    <col min="6732" max="6912" width="11.42578125" style="1"/>
    <col min="6913" max="6913" width="4.42578125" style="1" customWidth="1"/>
    <col min="6914" max="6914" width="26.28515625" style="1" customWidth="1"/>
    <col min="6915" max="6915" width="8.28515625" style="1" customWidth="1"/>
    <col min="6916" max="6916" width="9.7109375" style="1" customWidth="1"/>
    <col min="6917" max="6917" width="11.140625" style="1" customWidth="1"/>
    <col min="6918" max="6918" width="8.42578125" style="1" customWidth="1"/>
    <col min="6919" max="6919" width="10.140625" style="1" customWidth="1"/>
    <col min="6920" max="6920" width="10.5703125" style="1" customWidth="1"/>
    <col min="6921" max="6921" width="1.42578125" style="1" customWidth="1"/>
    <col min="6922" max="6922" width="1.7109375" style="1" customWidth="1"/>
    <col min="6923" max="6928" width="0" style="1" hidden="1" customWidth="1"/>
    <col min="6929" max="6929" width="10.140625" style="1" customWidth="1"/>
    <col min="6930" max="6930" width="6.5703125" style="1" customWidth="1"/>
    <col min="6931" max="6931" width="7.140625" style="1" customWidth="1"/>
    <col min="6932" max="6933" width="7.7109375" style="1" customWidth="1"/>
    <col min="6934" max="6935" width="9.140625" style="1" customWidth="1"/>
    <col min="6936" max="6936" width="1.42578125" style="1" customWidth="1"/>
    <col min="6937" max="6937" width="1.7109375" style="1" customWidth="1"/>
    <col min="6938" max="6948" width="0" style="1" hidden="1" customWidth="1"/>
    <col min="6949" max="6949" width="11.140625" style="1" customWidth="1"/>
    <col min="6950" max="6951" width="0" style="1" hidden="1" customWidth="1"/>
    <col min="6952" max="6952" width="13" style="1" customWidth="1"/>
    <col min="6953" max="6954" width="11.42578125" style="1"/>
    <col min="6955" max="6955" width="9.140625" style="1" customWidth="1"/>
    <col min="6956" max="6956" width="11.42578125" style="1"/>
    <col min="6957" max="6957" width="12.42578125" style="1" customWidth="1"/>
    <col min="6958" max="6959" width="10.7109375" style="1" customWidth="1"/>
    <col min="6960" max="6960" width="1.85546875" style="1" customWidth="1"/>
    <col min="6961" max="6961" width="2" style="1" customWidth="1"/>
    <col min="6962" max="6984" width="0" style="1" hidden="1" customWidth="1"/>
    <col min="6985" max="6985" width="13" style="1" customWidth="1"/>
    <col min="6986" max="6987" width="12.28515625" style="1" customWidth="1"/>
    <col min="6988" max="7168" width="11.42578125" style="1"/>
    <col min="7169" max="7169" width="4.42578125" style="1" customWidth="1"/>
    <col min="7170" max="7170" width="26.28515625" style="1" customWidth="1"/>
    <col min="7171" max="7171" width="8.28515625" style="1" customWidth="1"/>
    <col min="7172" max="7172" width="9.7109375" style="1" customWidth="1"/>
    <col min="7173" max="7173" width="11.140625" style="1" customWidth="1"/>
    <col min="7174" max="7174" width="8.42578125" style="1" customWidth="1"/>
    <col min="7175" max="7175" width="10.140625" style="1" customWidth="1"/>
    <col min="7176" max="7176" width="10.5703125" style="1" customWidth="1"/>
    <col min="7177" max="7177" width="1.42578125" style="1" customWidth="1"/>
    <col min="7178" max="7178" width="1.7109375" style="1" customWidth="1"/>
    <col min="7179" max="7184" width="0" style="1" hidden="1" customWidth="1"/>
    <col min="7185" max="7185" width="10.140625" style="1" customWidth="1"/>
    <col min="7186" max="7186" width="6.5703125" style="1" customWidth="1"/>
    <col min="7187" max="7187" width="7.140625" style="1" customWidth="1"/>
    <col min="7188" max="7189" width="7.7109375" style="1" customWidth="1"/>
    <col min="7190" max="7191" width="9.140625" style="1" customWidth="1"/>
    <col min="7192" max="7192" width="1.42578125" style="1" customWidth="1"/>
    <col min="7193" max="7193" width="1.7109375" style="1" customWidth="1"/>
    <col min="7194" max="7204" width="0" style="1" hidden="1" customWidth="1"/>
    <col min="7205" max="7205" width="11.140625" style="1" customWidth="1"/>
    <col min="7206" max="7207" width="0" style="1" hidden="1" customWidth="1"/>
    <col min="7208" max="7208" width="13" style="1" customWidth="1"/>
    <col min="7209" max="7210" width="11.42578125" style="1"/>
    <col min="7211" max="7211" width="9.140625" style="1" customWidth="1"/>
    <col min="7212" max="7212" width="11.42578125" style="1"/>
    <col min="7213" max="7213" width="12.42578125" style="1" customWidth="1"/>
    <col min="7214" max="7215" width="10.7109375" style="1" customWidth="1"/>
    <col min="7216" max="7216" width="1.85546875" style="1" customWidth="1"/>
    <col min="7217" max="7217" width="2" style="1" customWidth="1"/>
    <col min="7218" max="7240" width="0" style="1" hidden="1" customWidth="1"/>
    <col min="7241" max="7241" width="13" style="1" customWidth="1"/>
    <col min="7242" max="7243" width="12.28515625" style="1" customWidth="1"/>
    <col min="7244" max="7424" width="11.42578125" style="1"/>
    <col min="7425" max="7425" width="4.42578125" style="1" customWidth="1"/>
    <col min="7426" max="7426" width="26.28515625" style="1" customWidth="1"/>
    <col min="7427" max="7427" width="8.28515625" style="1" customWidth="1"/>
    <col min="7428" max="7428" width="9.7109375" style="1" customWidth="1"/>
    <col min="7429" max="7429" width="11.140625" style="1" customWidth="1"/>
    <col min="7430" max="7430" width="8.42578125" style="1" customWidth="1"/>
    <col min="7431" max="7431" width="10.140625" style="1" customWidth="1"/>
    <col min="7432" max="7432" width="10.5703125" style="1" customWidth="1"/>
    <col min="7433" max="7433" width="1.42578125" style="1" customWidth="1"/>
    <col min="7434" max="7434" width="1.7109375" style="1" customWidth="1"/>
    <col min="7435" max="7440" width="0" style="1" hidden="1" customWidth="1"/>
    <col min="7441" max="7441" width="10.140625" style="1" customWidth="1"/>
    <col min="7442" max="7442" width="6.5703125" style="1" customWidth="1"/>
    <col min="7443" max="7443" width="7.140625" style="1" customWidth="1"/>
    <col min="7444" max="7445" width="7.7109375" style="1" customWidth="1"/>
    <col min="7446" max="7447" width="9.140625" style="1" customWidth="1"/>
    <col min="7448" max="7448" width="1.42578125" style="1" customWidth="1"/>
    <col min="7449" max="7449" width="1.7109375" style="1" customWidth="1"/>
    <col min="7450" max="7460" width="0" style="1" hidden="1" customWidth="1"/>
    <col min="7461" max="7461" width="11.140625" style="1" customWidth="1"/>
    <col min="7462" max="7463" width="0" style="1" hidden="1" customWidth="1"/>
    <col min="7464" max="7464" width="13" style="1" customWidth="1"/>
    <col min="7465" max="7466" width="11.42578125" style="1"/>
    <col min="7467" max="7467" width="9.140625" style="1" customWidth="1"/>
    <col min="7468" max="7468" width="11.42578125" style="1"/>
    <col min="7469" max="7469" width="12.42578125" style="1" customWidth="1"/>
    <col min="7470" max="7471" width="10.7109375" style="1" customWidth="1"/>
    <col min="7472" max="7472" width="1.85546875" style="1" customWidth="1"/>
    <col min="7473" max="7473" width="2" style="1" customWidth="1"/>
    <col min="7474" max="7496" width="0" style="1" hidden="1" customWidth="1"/>
    <col min="7497" max="7497" width="13" style="1" customWidth="1"/>
    <col min="7498" max="7499" width="12.28515625" style="1" customWidth="1"/>
    <col min="7500" max="7680" width="11.42578125" style="1"/>
    <col min="7681" max="7681" width="4.42578125" style="1" customWidth="1"/>
    <col min="7682" max="7682" width="26.28515625" style="1" customWidth="1"/>
    <col min="7683" max="7683" width="8.28515625" style="1" customWidth="1"/>
    <col min="7684" max="7684" width="9.7109375" style="1" customWidth="1"/>
    <col min="7685" max="7685" width="11.140625" style="1" customWidth="1"/>
    <col min="7686" max="7686" width="8.42578125" style="1" customWidth="1"/>
    <col min="7687" max="7687" width="10.140625" style="1" customWidth="1"/>
    <col min="7688" max="7688" width="10.5703125" style="1" customWidth="1"/>
    <col min="7689" max="7689" width="1.42578125" style="1" customWidth="1"/>
    <col min="7690" max="7690" width="1.7109375" style="1" customWidth="1"/>
    <col min="7691" max="7696" width="0" style="1" hidden="1" customWidth="1"/>
    <col min="7697" max="7697" width="10.140625" style="1" customWidth="1"/>
    <col min="7698" max="7698" width="6.5703125" style="1" customWidth="1"/>
    <col min="7699" max="7699" width="7.140625" style="1" customWidth="1"/>
    <col min="7700" max="7701" width="7.7109375" style="1" customWidth="1"/>
    <col min="7702" max="7703" width="9.140625" style="1" customWidth="1"/>
    <col min="7704" max="7704" width="1.42578125" style="1" customWidth="1"/>
    <col min="7705" max="7705" width="1.7109375" style="1" customWidth="1"/>
    <col min="7706" max="7716" width="0" style="1" hidden="1" customWidth="1"/>
    <col min="7717" max="7717" width="11.140625" style="1" customWidth="1"/>
    <col min="7718" max="7719" width="0" style="1" hidden="1" customWidth="1"/>
    <col min="7720" max="7720" width="13" style="1" customWidth="1"/>
    <col min="7721" max="7722" width="11.42578125" style="1"/>
    <col min="7723" max="7723" width="9.140625" style="1" customWidth="1"/>
    <col min="7724" max="7724" width="11.42578125" style="1"/>
    <col min="7725" max="7725" width="12.42578125" style="1" customWidth="1"/>
    <col min="7726" max="7727" width="10.7109375" style="1" customWidth="1"/>
    <col min="7728" max="7728" width="1.85546875" style="1" customWidth="1"/>
    <col min="7729" max="7729" width="2" style="1" customWidth="1"/>
    <col min="7730" max="7752" width="0" style="1" hidden="1" customWidth="1"/>
    <col min="7753" max="7753" width="13" style="1" customWidth="1"/>
    <col min="7754" max="7755" width="12.28515625" style="1" customWidth="1"/>
    <col min="7756" max="7936" width="11.42578125" style="1"/>
    <col min="7937" max="7937" width="4.42578125" style="1" customWidth="1"/>
    <col min="7938" max="7938" width="26.28515625" style="1" customWidth="1"/>
    <col min="7939" max="7939" width="8.28515625" style="1" customWidth="1"/>
    <col min="7940" max="7940" width="9.7109375" style="1" customWidth="1"/>
    <col min="7941" max="7941" width="11.140625" style="1" customWidth="1"/>
    <col min="7942" max="7942" width="8.42578125" style="1" customWidth="1"/>
    <col min="7943" max="7943" width="10.140625" style="1" customWidth="1"/>
    <col min="7944" max="7944" width="10.5703125" style="1" customWidth="1"/>
    <col min="7945" max="7945" width="1.42578125" style="1" customWidth="1"/>
    <col min="7946" max="7946" width="1.7109375" style="1" customWidth="1"/>
    <col min="7947" max="7952" width="0" style="1" hidden="1" customWidth="1"/>
    <col min="7953" max="7953" width="10.140625" style="1" customWidth="1"/>
    <col min="7954" max="7954" width="6.5703125" style="1" customWidth="1"/>
    <col min="7955" max="7955" width="7.140625" style="1" customWidth="1"/>
    <col min="7956" max="7957" width="7.7109375" style="1" customWidth="1"/>
    <col min="7958" max="7959" width="9.140625" style="1" customWidth="1"/>
    <col min="7960" max="7960" width="1.42578125" style="1" customWidth="1"/>
    <col min="7961" max="7961" width="1.7109375" style="1" customWidth="1"/>
    <col min="7962" max="7972" width="0" style="1" hidden="1" customWidth="1"/>
    <col min="7973" max="7973" width="11.140625" style="1" customWidth="1"/>
    <col min="7974" max="7975" width="0" style="1" hidden="1" customWidth="1"/>
    <col min="7976" max="7976" width="13" style="1" customWidth="1"/>
    <col min="7977" max="7978" width="11.42578125" style="1"/>
    <col min="7979" max="7979" width="9.140625" style="1" customWidth="1"/>
    <col min="7980" max="7980" width="11.42578125" style="1"/>
    <col min="7981" max="7981" width="12.42578125" style="1" customWidth="1"/>
    <col min="7982" max="7983" width="10.7109375" style="1" customWidth="1"/>
    <col min="7984" max="7984" width="1.85546875" style="1" customWidth="1"/>
    <col min="7985" max="7985" width="2" style="1" customWidth="1"/>
    <col min="7986" max="8008" width="0" style="1" hidden="1" customWidth="1"/>
    <col min="8009" max="8009" width="13" style="1" customWidth="1"/>
    <col min="8010" max="8011" width="12.28515625" style="1" customWidth="1"/>
    <col min="8012" max="8192" width="11.42578125" style="1"/>
    <col min="8193" max="8193" width="4.42578125" style="1" customWidth="1"/>
    <col min="8194" max="8194" width="26.28515625" style="1" customWidth="1"/>
    <col min="8195" max="8195" width="8.28515625" style="1" customWidth="1"/>
    <col min="8196" max="8196" width="9.7109375" style="1" customWidth="1"/>
    <col min="8197" max="8197" width="11.140625" style="1" customWidth="1"/>
    <col min="8198" max="8198" width="8.42578125" style="1" customWidth="1"/>
    <col min="8199" max="8199" width="10.140625" style="1" customWidth="1"/>
    <col min="8200" max="8200" width="10.5703125" style="1" customWidth="1"/>
    <col min="8201" max="8201" width="1.42578125" style="1" customWidth="1"/>
    <col min="8202" max="8202" width="1.7109375" style="1" customWidth="1"/>
    <col min="8203" max="8208" width="0" style="1" hidden="1" customWidth="1"/>
    <col min="8209" max="8209" width="10.140625" style="1" customWidth="1"/>
    <col min="8210" max="8210" width="6.5703125" style="1" customWidth="1"/>
    <col min="8211" max="8211" width="7.140625" style="1" customWidth="1"/>
    <col min="8212" max="8213" width="7.7109375" style="1" customWidth="1"/>
    <col min="8214" max="8215" width="9.140625" style="1" customWidth="1"/>
    <col min="8216" max="8216" width="1.42578125" style="1" customWidth="1"/>
    <col min="8217" max="8217" width="1.7109375" style="1" customWidth="1"/>
    <col min="8218" max="8228" width="0" style="1" hidden="1" customWidth="1"/>
    <col min="8229" max="8229" width="11.140625" style="1" customWidth="1"/>
    <col min="8230" max="8231" width="0" style="1" hidden="1" customWidth="1"/>
    <col min="8232" max="8232" width="13" style="1" customWidth="1"/>
    <col min="8233" max="8234" width="11.42578125" style="1"/>
    <col min="8235" max="8235" width="9.140625" style="1" customWidth="1"/>
    <col min="8236" max="8236" width="11.42578125" style="1"/>
    <col min="8237" max="8237" width="12.42578125" style="1" customWidth="1"/>
    <col min="8238" max="8239" width="10.7109375" style="1" customWidth="1"/>
    <col min="8240" max="8240" width="1.85546875" style="1" customWidth="1"/>
    <col min="8241" max="8241" width="2" style="1" customWidth="1"/>
    <col min="8242" max="8264" width="0" style="1" hidden="1" customWidth="1"/>
    <col min="8265" max="8265" width="13" style="1" customWidth="1"/>
    <col min="8266" max="8267" width="12.28515625" style="1" customWidth="1"/>
    <col min="8268" max="8448" width="11.42578125" style="1"/>
    <col min="8449" max="8449" width="4.42578125" style="1" customWidth="1"/>
    <col min="8450" max="8450" width="26.28515625" style="1" customWidth="1"/>
    <col min="8451" max="8451" width="8.28515625" style="1" customWidth="1"/>
    <col min="8452" max="8452" width="9.7109375" style="1" customWidth="1"/>
    <col min="8453" max="8453" width="11.140625" style="1" customWidth="1"/>
    <col min="8454" max="8454" width="8.42578125" style="1" customWidth="1"/>
    <col min="8455" max="8455" width="10.140625" style="1" customWidth="1"/>
    <col min="8456" max="8456" width="10.5703125" style="1" customWidth="1"/>
    <col min="8457" max="8457" width="1.42578125" style="1" customWidth="1"/>
    <col min="8458" max="8458" width="1.7109375" style="1" customWidth="1"/>
    <col min="8459" max="8464" width="0" style="1" hidden="1" customWidth="1"/>
    <col min="8465" max="8465" width="10.140625" style="1" customWidth="1"/>
    <col min="8466" max="8466" width="6.5703125" style="1" customWidth="1"/>
    <col min="8467" max="8467" width="7.140625" style="1" customWidth="1"/>
    <col min="8468" max="8469" width="7.7109375" style="1" customWidth="1"/>
    <col min="8470" max="8471" width="9.140625" style="1" customWidth="1"/>
    <col min="8472" max="8472" width="1.42578125" style="1" customWidth="1"/>
    <col min="8473" max="8473" width="1.7109375" style="1" customWidth="1"/>
    <col min="8474" max="8484" width="0" style="1" hidden="1" customWidth="1"/>
    <col min="8485" max="8485" width="11.140625" style="1" customWidth="1"/>
    <col min="8486" max="8487" width="0" style="1" hidden="1" customWidth="1"/>
    <col min="8488" max="8488" width="13" style="1" customWidth="1"/>
    <col min="8489" max="8490" width="11.42578125" style="1"/>
    <col min="8491" max="8491" width="9.140625" style="1" customWidth="1"/>
    <col min="8492" max="8492" width="11.42578125" style="1"/>
    <col min="8493" max="8493" width="12.42578125" style="1" customWidth="1"/>
    <col min="8494" max="8495" width="10.7109375" style="1" customWidth="1"/>
    <col min="8496" max="8496" width="1.85546875" style="1" customWidth="1"/>
    <col min="8497" max="8497" width="2" style="1" customWidth="1"/>
    <col min="8498" max="8520" width="0" style="1" hidden="1" customWidth="1"/>
    <col min="8521" max="8521" width="13" style="1" customWidth="1"/>
    <col min="8522" max="8523" width="12.28515625" style="1" customWidth="1"/>
    <col min="8524" max="8704" width="11.42578125" style="1"/>
    <col min="8705" max="8705" width="4.42578125" style="1" customWidth="1"/>
    <col min="8706" max="8706" width="26.28515625" style="1" customWidth="1"/>
    <col min="8707" max="8707" width="8.28515625" style="1" customWidth="1"/>
    <col min="8708" max="8708" width="9.7109375" style="1" customWidth="1"/>
    <col min="8709" max="8709" width="11.140625" style="1" customWidth="1"/>
    <col min="8710" max="8710" width="8.42578125" style="1" customWidth="1"/>
    <col min="8711" max="8711" width="10.140625" style="1" customWidth="1"/>
    <col min="8712" max="8712" width="10.5703125" style="1" customWidth="1"/>
    <col min="8713" max="8713" width="1.42578125" style="1" customWidth="1"/>
    <col min="8714" max="8714" width="1.7109375" style="1" customWidth="1"/>
    <col min="8715" max="8720" width="0" style="1" hidden="1" customWidth="1"/>
    <col min="8721" max="8721" width="10.140625" style="1" customWidth="1"/>
    <col min="8722" max="8722" width="6.5703125" style="1" customWidth="1"/>
    <col min="8723" max="8723" width="7.140625" style="1" customWidth="1"/>
    <col min="8724" max="8725" width="7.7109375" style="1" customWidth="1"/>
    <col min="8726" max="8727" width="9.140625" style="1" customWidth="1"/>
    <col min="8728" max="8728" width="1.42578125" style="1" customWidth="1"/>
    <col min="8729" max="8729" width="1.7109375" style="1" customWidth="1"/>
    <col min="8730" max="8740" width="0" style="1" hidden="1" customWidth="1"/>
    <col min="8741" max="8741" width="11.140625" style="1" customWidth="1"/>
    <col min="8742" max="8743" width="0" style="1" hidden="1" customWidth="1"/>
    <col min="8744" max="8744" width="13" style="1" customWidth="1"/>
    <col min="8745" max="8746" width="11.42578125" style="1"/>
    <col min="8747" max="8747" width="9.140625" style="1" customWidth="1"/>
    <col min="8748" max="8748" width="11.42578125" style="1"/>
    <col min="8749" max="8749" width="12.42578125" style="1" customWidth="1"/>
    <col min="8750" max="8751" width="10.7109375" style="1" customWidth="1"/>
    <col min="8752" max="8752" width="1.85546875" style="1" customWidth="1"/>
    <col min="8753" max="8753" width="2" style="1" customWidth="1"/>
    <col min="8754" max="8776" width="0" style="1" hidden="1" customWidth="1"/>
    <col min="8777" max="8777" width="13" style="1" customWidth="1"/>
    <col min="8778" max="8779" width="12.28515625" style="1" customWidth="1"/>
    <col min="8780" max="8960" width="11.42578125" style="1"/>
    <col min="8961" max="8961" width="4.42578125" style="1" customWidth="1"/>
    <col min="8962" max="8962" width="26.28515625" style="1" customWidth="1"/>
    <col min="8963" max="8963" width="8.28515625" style="1" customWidth="1"/>
    <col min="8964" max="8964" width="9.7109375" style="1" customWidth="1"/>
    <col min="8965" max="8965" width="11.140625" style="1" customWidth="1"/>
    <col min="8966" max="8966" width="8.42578125" style="1" customWidth="1"/>
    <col min="8967" max="8967" width="10.140625" style="1" customWidth="1"/>
    <col min="8968" max="8968" width="10.5703125" style="1" customWidth="1"/>
    <col min="8969" max="8969" width="1.42578125" style="1" customWidth="1"/>
    <col min="8970" max="8970" width="1.7109375" style="1" customWidth="1"/>
    <col min="8971" max="8976" width="0" style="1" hidden="1" customWidth="1"/>
    <col min="8977" max="8977" width="10.140625" style="1" customWidth="1"/>
    <col min="8978" max="8978" width="6.5703125" style="1" customWidth="1"/>
    <col min="8979" max="8979" width="7.140625" style="1" customWidth="1"/>
    <col min="8980" max="8981" width="7.7109375" style="1" customWidth="1"/>
    <col min="8982" max="8983" width="9.140625" style="1" customWidth="1"/>
    <col min="8984" max="8984" width="1.42578125" style="1" customWidth="1"/>
    <col min="8985" max="8985" width="1.7109375" style="1" customWidth="1"/>
    <col min="8986" max="8996" width="0" style="1" hidden="1" customWidth="1"/>
    <col min="8997" max="8997" width="11.140625" style="1" customWidth="1"/>
    <col min="8998" max="8999" width="0" style="1" hidden="1" customWidth="1"/>
    <col min="9000" max="9000" width="13" style="1" customWidth="1"/>
    <col min="9001" max="9002" width="11.42578125" style="1"/>
    <col min="9003" max="9003" width="9.140625" style="1" customWidth="1"/>
    <col min="9004" max="9004" width="11.42578125" style="1"/>
    <col min="9005" max="9005" width="12.42578125" style="1" customWidth="1"/>
    <col min="9006" max="9007" width="10.7109375" style="1" customWidth="1"/>
    <col min="9008" max="9008" width="1.85546875" style="1" customWidth="1"/>
    <col min="9009" max="9009" width="2" style="1" customWidth="1"/>
    <col min="9010" max="9032" width="0" style="1" hidden="1" customWidth="1"/>
    <col min="9033" max="9033" width="13" style="1" customWidth="1"/>
    <col min="9034" max="9035" width="12.28515625" style="1" customWidth="1"/>
    <col min="9036" max="9216" width="11.42578125" style="1"/>
    <col min="9217" max="9217" width="4.42578125" style="1" customWidth="1"/>
    <col min="9218" max="9218" width="26.28515625" style="1" customWidth="1"/>
    <col min="9219" max="9219" width="8.28515625" style="1" customWidth="1"/>
    <col min="9220" max="9220" width="9.7109375" style="1" customWidth="1"/>
    <col min="9221" max="9221" width="11.140625" style="1" customWidth="1"/>
    <col min="9222" max="9222" width="8.42578125" style="1" customWidth="1"/>
    <col min="9223" max="9223" width="10.140625" style="1" customWidth="1"/>
    <col min="9224" max="9224" width="10.5703125" style="1" customWidth="1"/>
    <col min="9225" max="9225" width="1.42578125" style="1" customWidth="1"/>
    <col min="9226" max="9226" width="1.7109375" style="1" customWidth="1"/>
    <col min="9227" max="9232" width="0" style="1" hidden="1" customWidth="1"/>
    <col min="9233" max="9233" width="10.140625" style="1" customWidth="1"/>
    <col min="9234" max="9234" width="6.5703125" style="1" customWidth="1"/>
    <col min="9235" max="9235" width="7.140625" style="1" customWidth="1"/>
    <col min="9236" max="9237" width="7.7109375" style="1" customWidth="1"/>
    <col min="9238" max="9239" width="9.140625" style="1" customWidth="1"/>
    <col min="9240" max="9240" width="1.42578125" style="1" customWidth="1"/>
    <col min="9241" max="9241" width="1.7109375" style="1" customWidth="1"/>
    <col min="9242" max="9252" width="0" style="1" hidden="1" customWidth="1"/>
    <col min="9253" max="9253" width="11.140625" style="1" customWidth="1"/>
    <col min="9254" max="9255" width="0" style="1" hidden="1" customWidth="1"/>
    <col min="9256" max="9256" width="13" style="1" customWidth="1"/>
    <col min="9257" max="9258" width="11.42578125" style="1"/>
    <col min="9259" max="9259" width="9.140625" style="1" customWidth="1"/>
    <col min="9260" max="9260" width="11.42578125" style="1"/>
    <col min="9261" max="9261" width="12.42578125" style="1" customWidth="1"/>
    <col min="9262" max="9263" width="10.7109375" style="1" customWidth="1"/>
    <col min="9264" max="9264" width="1.85546875" style="1" customWidth="1"/>
    <col min="9265" max="9265" width="2" style="1" customWidth="1"/>
    <col min="9266" max="9288" width="0" style="1" hidden="1" customWidth="1"/>
    <col min="9289" max="9289" width="13" style="1" customWidth="1"/>
    <col min="9290" max="9291" width="12.28515625" style="1" customWidth="1"/>
    <col min="9292" max="9472" width="11.42578125" style="1"/>
    <col min="9473" max="9473" width="4.42578125" style="1" customWidth="1"/>
    <col min="9474" max="9474" width="26.28515625" style="1" customWidth="1"/>
    <col min="9475" max="9475" width="8.28515625" style="1" customWidth="1"/>
    <col min="9476" max="9476" width="9.7109375" style="1" customWidth="1"/>
    <col min="9477" max="9477" width="11.140625" style="1" customWidth="1"/>
    <col min="9478" max="9478" width="8.42578125" style="1" customWidth="1"/>
    <col min="9479" max="9479" width="10.140625" style="1" customWidth="1"/>
    <col min="9480" max="9480" width="10.5703125" style="1" customWidth="1"/>
    <col min="9481" max="9481" width="1.42578125" style="1" customWidth="1"/>
    <col min="9482" max="9482" width="1.7109375" style="1" customWidth="1"/>
    <col min="9483" max="9488" width="0" style="1" hidden="1" customWidth="1"/>
    <col min="9489" max="9489" width="10.140625" style="1" customWidth="1"/>
    <col min="9490" max="9490" width="6.5703125" style="1" customWidth="1"/>
    <col min="9491" max="9491" width="7.140625" style="1" customWidth="1"/>
    <col min="9492" max="9493" width="7.7109375" style="1" customWidth="1"/>
    <col min="9494" max="9495" width="9.140625" style="1" customWidth="1"/>
    <col min="9496" max="9496" width="1.42578125" style="1" customWidth="1"/>
    <col min="9497" max="9497" width="1.7109375" style="1" customWidth="1"/>
    <col min="9498" max="9508" width="0" style="1" hidden="1" customWidth="1"/>
    <col min="9509" max="9509" width="11.140625" style="1" customWidth="1"/>
    <col min="9510" max="9511" width="0" style="1" hidden="1" customWidth="1"/>
    <col min="9512" max="9512" width="13" style="1" customWidth="1"/>
    <col min="9513" max="9514" width="11.42578125" style="1"/>
    <col min="9515" max="9515" width="9.140625" style="1" customWidth="1"/>
    <col min="9516" max="9516" width="11.42578125" style="1"/>
    <col min="9517" max="9517" width="12.42578125" style="1" customWidth="1"/>
    <col min="9518" max="9519" width="10.7109375" style="1" customWidth="1"/>
    <col min="9520" max="9520" width="1.85546875" style="1" customWidth="1"/>
    <col min="9521" max="9521" width="2" style="1" customWidth="1"/>
    <col min="9522" max="9544" width="0" style="1" hidden="1" customWidth="1"/>
    <col min="9545" max="9545" width="13" style="1" customWidth="1"/>
    <col min="9546" max="9547" width="12.28515625" style="1" customWidth="1"/>
    <col min="9548" max="9728" width="11.42578125" style="1"/>
    <col min="9729" max="9729" width="4.42578125" style="1" customWidth="1"/>
    <col min="9730" max="9730" width="26.28515625" style="1" customWidth="1"/>
    <col min="9731" max="9731" width="8.28515625" style="1" customWidth="1"/>
    <col min="9732" max="9732" width="9.7109375" style="1" customWidth="1"/>
    <col min="9733" max="9733" width="11.140625" style="1" customWidth="1"/>
    <col min="9734" max="9734" width="8.42578125" style="1" customWidth="1"/>
    <col min="9735" max="9735" width="10.140625" style="1" customWidth="1"/>
    <col min="9736" max="9736" width="10.5703125" style="1" customWidth="1"/>
    <col min="9737" max="9737" width="1.42578125" style="1" customWidth="1"/>
    <col min="9738" max="9738" width="1.7109375" style="1" customWidth="1"/>
    <col min="9739" max="9744" width="0" style="1" hidden="1" customWidth="1"/>
    <col min="9745" max="9745" width="10.140625" style="1" customWidth="1"/>
    <col min="9746" max="9746" width="6.5703125" style="1" customWidth="1"/>
    <col min="9747" max="9747" width="7.140625" style="1" customWidth="1"/>
    <col min="9748" max="9749" width="7.7109375" style="1" customWidth="1"/>
    <col min="9750" max="9751" width="9.140625" style="1" customWidth="1"/>
    <col min="9752" max="9752" width="1.42578125" style="1" customWidth="1"/>
    <col min="9753" max="9753" width="1.7109375" style="1" customWidth="1"/>
    <col min="9754" max="9764" width="0" style="1" hidden="1" customWidth="1"/>
    <col min="9765" max="9765" width="11.140625" style="1" customWidth="1"/>
    <col min="9766" max="9767" width="0" style="1" hidden="1" customWidth="1"/>
    <col min="9768" max="9768" width="13" style="1" customWidth="1"/>
    <col min="9769" max="9770" width="11.42578125" style="1"/>
    <col min="9771" max="9771" width="9.140625" style="1" customWidth="1"/>
    <col min="9772" max="9772" width="11.42578125" style="1"/>
    <col min="9773" max="9773" width="12.42578125" style="1" customWidth="1"/>
    <col min="9774" max="9775" width="10.7109375" style="1" customWidth="1"/>
    <col min="9776" max="9776" width="1.85546875" style="1" customWidth="1"/>
    <col min="9777" max="9777" width="2" style="1" customWidth="1"/>
    <col min="9778" max="9800" width="0" style="1" hidden="1" customWidth="1"/>
    <col min="9801" max="9801" width="13" style="1" customWidth="1"/>
    <col min="9802" max="9803" width="12.28515625" style="1" customWidth="1"/>
    <col min="9804" max="9984" width="11.42578125" style="1"/>
    <col min="9985" max="9985" width="4.42578125" style="1" customWidth="1"/>
    <col min="9986" max="9986" width="26.28515625" style="1" customWidth="1"/>
    <col min="9987" max="9987" width="8.28515625" style="1" customWidth="1"/>
    <col min="9988" max="9988" width="9.7109375" style="1" customWidth="1"/>
    <col min="9989" max="9989" width="11.140625" style="1" customWidth="1"/>
    <col min="9990" max="9990" width="8.42578125" style="1" customWidth="1"/>
    <col min="9991" max="9991" width="10.140625" style="1" customWidth="1"/>
    <col min="9992" max="9992" width="10.5703125" style="1" customWidth="1"/>
    <col min="9993" max="9993" width="1.42578125" style="1" customWidth="1"/>
    <col min="9994" max="9994" width="1.7109375" style="1" customWidth="1"/>
    <col min="9995" max="10000" width="0" style="1" hidden="1" customWidth="1"/>
    <col min="10001" max="10001" width="10.140625" style="1" customWidth="1"/>
    <col min="10002" max="10002" width="6.5703125" style="1" customWidth="1"/>
    <col min="10003" max="10003" width="7.140625" style="1" customWidth="1"/>
    <col min="10004" max="10005" width="7.7109375" style="1" customWidth="1"/>
    <col min="10006" max="10007" width="9.140625" style="1" customWidth="1"/>
    <col min="10008" max="10008" width="1.42578125" style="1" customWidth="1"/>
    <col min="10009" max="10009" width="1.7109375" style="1" customWidth="1"/>
    <col min="10010" max="10020" width="0" style="1" hidden="1" customWidth="1"/>
    <col min="10021" max="10021" width="11.140625" style="1" customWidth="1"/>
    <col min="10022" max="10023" width="0" style="1" hidden="1" customWidth="1"/>
    <col min="10024" max="10024" width="13" style="1" customWidth="1"/>
    <col min="10025" max="10026" width="11.42578125" style="1"/>
    <col min="10027" max="10027" width="9.140625" style="1" customWidth="1"/>
    <col min="10028" max="10028" width="11.42578125" style="1"/>
    <col min="10029" max="10029" width="12.42578125" style="1" customWidth="1"/>
    <col min="10030" max="10031" width="10.7109375" style="1" customWidth="1"/>
    <col min="10032" max="10032" width="1.85546875" style="1" customWidth="1"/>
    <col min="10033" max="10033" width="2" style="1" customWidth="1"/>
    <col min="10034" max="10056" width="0" style="1" hidden="1" customWidth="1"/>
    <col min="10057" max="10057" width="13" style="1" customWidth="1"/>
    <col min="10058" max="10059" width="12.28515625" style="1" customWidth="1"/>
    <col min="10060" max="10240" width="11.42578125" style="1"/>
    <col min="10241" max="10241" width="4.42578125" style="1" customWidth="1"/>
    <col min="10242" max="10242" width="26.28515625" style="1" customWidth="1"/>
    <col min="10243" max="10243" width="8.28515625" style="1" customWidth="1"/>
    <col min="10244" max="10244" width="9.7109375" style="1" customWidth="1"/>
    <col min="10245" max="10245" width="11.140625" style="1" customWidth="1"/>
    <col min="10246" max="10246" width="8.42578125" style="1" customWidth="1"/>
    <col min="10247" max="10247" width="10.140625" style="1" customWidth="1"/>
    <col min="10248" max="10248" width="10.5703125" style="1" customWidth="1"/>
    <col min="10249" max="10249" width="1.42578125" style="1" customWidth="1"/>
    <col min="10250" max="10250" width="1.7109375" style="1" customWidth="1"/>
    <col min="10251" max="10256" width="0" style="1" hidden="1" customWidth="1"/>
    <col min="10257" max="10257" width="10.140625" style="1" customWidth="1"/>
    <col min="10258" max="10258" width="6.5703125" style="1" customWidth="1"/>
    <col min="10259" max="10259" width="7.140625" style="1" customWidth="1"/>
    <col min="10260" max="10261" width="7.7109375" style="1" customWidth="1"/>
    <col min="10262" max="10263" width="9.140625" style="1" customWidth="1"/>
    <col min="10264" max="10264" width="1.42578125" style="1" customWidth="1"/>
    <col min="10265" max="10265" width="1.7109375" style="1" customWidth="1"/>
    <col min="10266" max="10276" width="0" style="1" hidden="1" customWidth="1"/>
    <col min="10277" max="10277" width="11.140625" style="1" customWidth="1"/>
    <col min="10278" max="10279" width="0" style="1" hidden="1" customWidth="1"/>
    <col min="10280" max="10280" width="13" style="1" customWidth="1"/>
    <col min="10281" max="10282" width="11.42578125" style="1"/>
    <col min="10283" max="10283" width="9.140625" style="1" customWidth="1"/>
    <col min="10284" max="10284" width="11.42578125" style="1"/>
    <col min="10285" max="10285" width="12.42578125" style="1" customWidth="1"/>
    <col min="10286" max="10287" width="10.7109375" style="1" customWidth="1"/>
    <col min="10288" max="10288" width="1.85546875" style="1" customWidth="1"/>
    <col min="10289" max="10289" width="2" style="1" customWidth="1"/>
    <col min="10290" max="10312" width="0" style="1" hidden="1" customWidth="1"/>
    <col min="10313" max="10313" width="13" style="1" customWidth="1"/>
    <col min="10314" max="10315" width="12.28515625" style="1" customWidth="1"/>
    <col min="10316" max="10496" width="11.42578125" style="1"/>
    <col min="10497" max="10497" width="4.42578125" style="1" customWidth="1"/>
    <col min="10498" max="10498" width="26.28515625" style="1" customWidth="1"/>
    <col min="10499" max="10499" width="8.28515625" style="1" customWidth="1"/>
    <col min="10500" max="10500" width="9.7109375" style="1" customWidth="1"/>
    <col min="10501" max="10501" width="11.140625" style="1" customWidth="1"/>
    <col min="10502" max="10502" width="8.42578125" style="1" customWidth="1"/>
    <col min="10503" max="10503" width="10.140625" style="1" customWidth="1"/>
    <col min="10504" max="10504" width="10.5703125" style="1" customWidth="1"/>
    <col min="10505" max="10505" width="1.42578125" style="1" customWidth="1"/>
    <col min="10506" max="10506" width="1.7109375" style="1" customWidth="1"/>
    <col min="10507" max="10512" width="0" style="1" hidden="1" customWidth="1"/>
    <col min="10513" max="10513" width="10.140625" style="1" customWidth="1"/>
    <col min="10514" max="10514" width="6.5703125" style="1" customWidth="1"/>
    <col min="10515" max="10515" width="7.140625" style="1" customWidth="1"/>
    <col min="10516" max="10517" width="7.7109375" style="1" customWidth="1"/>
    <col min="10518" max="10519" width="9.140625" style="1" customWidth="1"/>
    <col min="10520" max="10520" width="1.42578125" style="1" customWidth="1"/>
    <col min="10521" max="10521" width="1.7109375" style="1" customWidth="1"/>
    <col min="10522" max="10532" width="0" style="1" hidden="1" customWidth="1"/>
    <col min="10533" max="10533" width="11.140625" style="1" customWidth="1"/>
    <col min="10534" max="10535" width="0" style="1" hidden="1" customWidth="1"/>
    <col min="10536" max="10536" width="13" style="1" customWidth="1"/>
    <col min="10537" max="10538" width="11.42578125" style="1"/>
    <col min="10539" max="10539" width="9.140625" style="1" customWidth="1"/>
    <col min="10540" max="10540" width="11.42578125" style="1"/>
    <col min="10541" max="10541" width="12.42578125" style="1" customWidth="1"/>
    <col min="10542" max="10543" width="10.7109375" style="1" customWidth="1"/>
    <col min="10544" max="10544" width="1.85546875" style="1" customWidth="1"/>
    <col min="10545" max="10545" width="2" style="1" customWidth="1"/>
    <col min="10546" max="10568" width="0" style="1" hidden="1" customWidth="1"/>
    <col min="10569" max="10569" width="13" style="1" customWidth="1"/>
    <col min="10570" max="10571" width="12.28515625" style="1" customWidth="1"/>
    <col min="10572" max="10752" width="11.42578125" style="1"/>
    <col min="10753" max="10753" width="4.42578125" style="1" customWidth="1"/>
    <col min="10754" max="10754" width="26.28515625" style="1" customWidth="1"/>
    <col min="10755" max="10755" width="8.28515625" style="1" customWidth="1"/>
    <col min="10756" max="10756" width="9.7109375" style="1" customWidth="1"/>
    <col min="10757" max="10757" width="11.140625" style="1" customWidth="1"/>
    <col min="10758" max="10758" width="8.42578125" style="1" customWidth="1"/>
    <col min="10759" max="10759" width="10.140625" style="1" customWidth="1"/>
    <col min="10760" max="10760" width="10.5703125" style="1" customWidth="1"/>
    <col min="10761" max="10761" width="1.42578125" style="1" customWidth="1"/>
    <col min="10762" max="10762" width="1.7109375" style="1" customWidth="1"/>
    <col min="10763" max="10768" width="0" style="1" hidden="1" customWidth="1"/>
    <col min="10769" max="10769" width="10.140625" style="1" customWidth="1"/>
    <col min="10770" max="10770" width="6.5703125" style="1" customWidth="1"/>
    <col min="10771" max="10771" width="7.140625" style="1" customWidth="1"/>
    <col min="10772" max="10773" width="7.7109375" style="1" customWidth="1"/>
    <col min="10774" max="10775" width="9.140625" style="1" customWidth="1"/>
    <col min="10776" max="10776" width="1.42578125" style="1" customWidth="1"/>
    <col min="10777" max="10777" width="1.7109375" style="1" customWidth="1"/>
    <col min="10778" max="10788" width="0" style="1" hidden="1" customWidth="1"/>
    <col min="10789" max="10789" width="11.140625" style="1" customWidth="1"/>
    <col min="10790" max="10791" width="0" style="1" hidden="1" customWidth="1"/>
    <col min="10792" max="10792" width="13" style="1" customWidth="1"/>
    <col min="10793" max="10794" width="11.42578125" style="1"/>
    <col min="10795" max="10795" width="9.140625" style="1" customWidth="1"/>
    <col min="10796" max="10796" width="11.42578125" style="1"/>
    <col min="10797" max="10797" width="12.42578125" style="1" customWidth="1"/>
    <col min="10798" max="10799" width="10.7109375" style="1" customWidth="1"/>
    <col min="10800" max="10800" width="1.85546875" style="1" customWidth="1"/>
    <col min="10801" max="10801" width="2" style="1" customWidth="1"/>
    <col min="10802" max="10824" width="0" style="1" hidden="1" customWidth="1"/>
    <col min="10825" max="10825" width="13" style="1" customWidth="1"/>
    <col min="10826" max="10827" width="12.28515625" style="1" customWidth="1"/>
    <col min="10828" max="11008" width="11.42578125" style="1"/>
    <col min="11009" max="11009" width="4.42578125" style="1" customWidth="1"/>
    <col min="11010" max="11010" width="26.28515625" style="1" customWidth="1"/>
    <col min="11011" max="11011" width="8.28515625" style="1" customWidth="1"/>
    <col min="11012" max="11012" width="9.7109375" style="1" customWidth="1"/>
    <col min="11013" max="11013" width="11.140625" style="1" customWidth="1"/>
    <col min="11014" max="11014" width="8.42578125" style="1" customWidth="1"/>
    <col min="11015" max="11015" width="10.140625" style="1" customWidth="1"/>
    <col min="11016" max="11016" width="10.5703125" style="1" customWidth="1"/>
    <col min="11017" max="11017" width="1.42578125" style="1" customWidth="1"/>
    <col min="11018" max="11018" width="1.7109375" style="1" customWidth="1"/>
    <col min="11019" max="11024" width="0" style="1" hidden="1" customWidth="1"/>
    <col min="11025" max="11025" width="10.140625" style="1" customWidth="1"/>
    <col min="11026" max="11026" width="6.5703125" style="1" customWidth="1"/>
    <col min="11027" max="11027" width="7.140625" style="1" customWidth="1"/>
    <col min="11028" max="11029" width="7.7109375" style="1" customWidth="1"/>
    <col min="11030" max="11031" width="9.140625" style="1" customWidth="1"/>
    <col min="11032" max="11032" width="1.42578125" style="1" customWidth="1"/>
    <col min="11033" max="11033" width="1.7109375" style="1" customWidth="1"/>
    <col min="11034" max="11044" width="0" style="1" hidden="1" customWidth="1"/>
    <col min="11045" max="11045" width="11.140625" style="1" customWidth="1"/>
    <col min="11046" max="11047" width="0" style="1" hidden="1" customWidth="1"/>
    <col min="11048" max="11048" width="13" style="1" customWidth="1"/>
    <col min="11049" max="11050" width="11.42578125" style="1"/>
    <col min="11051" max="11051" width="9.140625" style="1" customWidth="1"/>
    <col min="11052" max="11052" width="11.42578125" style="1"/>
    <col min="11053" max="11053" width="12.42578125" style="1" customWidth="1"/>
    <col min="11054" max="11055" width="10.7109375" style="1" customWidth="1"/>
    <col min="11056" max="11056" width="1.85546875" style="1" customWidth="1"/>
    <col min="11057" max="11057" width="2" style="1" customWidth="1"/>
    <col min="11058" max="11080" width="0" style="1" hidden="1" customWidth="1"/>
    <col min="11081" max="11081" width="13" style="1" customWidth="1"/>
    <col min="11082" max="11083" width="12.28515625" style="1" customWidth="1"/>
    <col min="11084" max="11264" width="11.42578125" style="1"/>
    <col min="11265" max="11265" width="4.42578125" style="1" customWidth="1"/>
    <col min="11266" max="11266" width="26.28515625" style="1" customWidth="1"/>
    <col min="11267" max="11267" width="8.28515625" style="1" customWidth="1"/>
    <col min="11268" max="11268" width="9.7109375" style="1" customWidth="1"/>
    <col min="11269" max="11269" width="11.140625" style="1" customWidth="1"/>
    <col min="11270" max="11270" width="8.42578125" style="1" customWidth="1"/>
    <col min="11271" max="11271" width="10.140625" style="1" customWidth="1"/>
    <col min="11272" max="11272" width="10.5703125" style="1" customWidth="1"/>
    <col min="11273" max="11273" width="1.42578125" style="1" customWidth="1"/>
    <col min="11274" max="11274" width="1.7109375" style="1" customWidth="1"/>
    <col min="11275" max="11280" width="0" style="1" hidden="1" customWidth="1"/>
    <col min="11281" max="11281" width="10.140625" style="1" customWidth="1"/>
    <col min="11282" max="11282" width="6.5703125" style="1" customWidth="1"/>
    <col min="11283" max="11283" width="7.140625" style="1" customWidth="1"/>
    <col min="11284" max="11285" width="7.7109375" style="1" customWidth="1"/>
    <col min="11286" max="11287" width="9.140625" style="1" customWidth="1"/>
    <col min="11288" max="11288" width="1.42578125" style="1" customWidth="1"/>
    <col min="11289" max="11289" width="1.7109375" style="1" customWidth="1"/>
    <col min="11290" max="11300" width="0" style="1" hidden="1" customWidth="1"/>
    <col min="11301" max="11301" width="11.140625" style="1" customWidth="1"/>
    <col min="11302" max="11303" width="0" style="1" hidden="1" customWidth="1"/>
    <col min="11304" max="11304" width="13" style="1" customWidth="1"/>
    <col min="11305" max="11306" width="11.42578125" style="1"/>
    <col min="11307" max="11307" width="9.140625" style="1" customWidth="1"/>
    <col min="11308" max="11308" width="11.42578125" style="1"/>
    <col min="11309" max="11309" width="12.42578125" style="1" customWidth="1"/>
    <col min="11310" max="11311" width="10.7109375" style="1" customWidth="1"/>
    <col min="11312" max="11312" width="1.85546875" style="1" customWidth="1"/>
    <col min="11313" max="11313" width="2" style="1" customWidth="1"/>
    <col min="11314" max="11336" width="0" style="1" hidden="1" customWidth="1"/>
    <col min="11337" max="11337" width="13" style="1" customWidth="1"/>
    <col min="11338" max="11339" width="12.28515625" style="1" customWidth="1"/>
    <col min="11340" max="11520" width="11.42578125" style="1"/>
    <col min="11521" max="11521" width="4.42578125" style="1" customWidth="1"/>
    <col min="11522" max="11522" width="26.28515625" style="1" customWidth="1"/>
    <col min="11523" max="11523" width="8.28515625" style="1" customWidth="1"/>
    <col min="11524" max="11524" width="9.7109375" style="1" customWidth="1"/>
    <col min="11525" max="11525" width="11.140625" style="1" customWidth="1"/>
    <col min="11526" max="11526" width="8.42578125" style="1" customWidth="1"/>
    <col min="11527" max="11527" width="10.140625" style="1" customWidth="1"/>
    <col min="11528" max="11528" width="10.5703125" style="1" customWidth="1"/>
    <col min="11529" max="11529" width="1.42578125" style="1" customWidth="1"/>
    <col min="11530" max="11530" width="1.7109375" style="1" customWidth="1"/>
    <col min="11531" max="11536" width="0" style="1" hidden="1" customWidth="1"/>
    <col min="11537" max="11537" width="10.140625" style="1" customWidth="1"/>
    <col min="11538" max="11538" width="6.5703125" style="1" customWidth="1"/>
    <col min="11539" max="11539" width="7.140625" style="1" customWidth="1"/>
    <col min="11540" max="11541" width="7.7109375" style="1" customWidth="1"/>
    <col min="11542" max="11543" width="9.140625" style="1" customWidth="1"/>
    <col min="11544" max="11544" width="1.42578125" style="1" customWidth="1"/>
    <col min="11545" max="11545" width="1.7109375" style="1" customWidth="1"/>
    <col min="11546" max="11556" width="0" style="1" hidden="1" customWidth="1"/>
    <col min="11557" max="11557" width="11.140625" style="1" customWidth="1"/>
    <col min="11558" max="11559" width="0" style="1" hidden="1" customWidth="1"/>
    <col min="11560" max="11560" width="13" style="1" customWidth="1"/>
    <col min="11561" max="11562" width="11.42578125" style="1"/>
    <col min="11563" max="11563" width="9.140625" style="1" customWidth="1"/>
    <col min="11564" max="11564" width="11.42578125" style="1"/>
    <col min="11565" max="11565" width="12.42578125" style="1" customWidth="1"/>
    <col min="11566" max="11567" width="10.7109375" style="1" customWidth="1"/>
    <col min="11568" max="11568" width="1.85546875" style="1" customWidth="1"/>
    <col min="11569" max="11569" width="2" style="1" customWidth="1"/>
    <col min="11570" max="11592" width="0" style="1" hidden="1" customWidth="1"/>
    <col min="11593" max="11593" width="13" style="1" customWidth="1"/>
    <col min="11594" max="11595" width="12.28515625" style="1" customWidth="1"/>
    <col min="11596" max="11776" width="11.42578125" style="1"/>
    <col min="11777" max="11777" width="4.42578125" style="1" customWidth="1"/>
    <col min="11778" max="11778" width="26.28515625" style="1" customWidth="1"/>
    <col min="11779" max="11779" width="8.28515625" style="1" customWidth="1"/>
    <col min="11780" max="11780" width="9.7109375" style="1" customWidth="1"/>
    <col min="11781" max="11781" width="11.140625" style="1" customWidth="1"/>
    <col min="11782" max="11782" width="8.42578125" style="1" customWidth="1"/>
    <col min="11783" max="11783" width="10.140625" style="1" customWidth="1"/>
    <col min="11784" max="11784" width="10.5703125" style="1" customWidth="1"/>
    <col min="11785" max="11785" width="1.42578125" style="1" customWidth="1"/>
    <col min="11786" max="11786" width="1.7109375" style="1" customWidth="1"/>
    <col min="11787" max="11792" width="0" style="1" hidden="1" customWidth="1"/>
    <col min="11793" max="11793" width="10.140625" style="1" customWidth="1"/>
    <col min="11794" max="11794" width="6.5703125" style="1" customWidth="1"/>
    <col min="11795" max="11795" width="7.140625" style="1" customWidth="1"/>
    <col min="11796" max="11797" width="7.7109375" style="1" customWidth="1"/>
    <col min="11798" max="11799" width="9.140625" style="1" customWidth="1"/>
    <col min="11800" max="11800" width="1.42578125" style="1" customWidth="1"/>
    <col min="11801" max="11801" width="1.7109375" style="1" customWidth="1"/>
    <col min="11802" max="11812" width="0" style="1" hidden="1" customWidth="1"/>
    <col min="11813" max="11813" width="11.140625" style="1" customWidth="1"/>
    <col min="11814" max="11815" width="0" style="1" hidden="1" customWidth="1"/>
    <col min="11816" max="11816" width="13" style="1" customWidth="1"/>
    <col min="11817" max="11818" width="11.42578125" style="1"/>
    <col min="11819" max="11819" width="9.140625" style="1" customWidth="1"/>
    <col min="11820" max="11820" width="11.42578125" style="1"/>
    <col min="11821" max="11821" width="12.42578125" style="1" customWidth="1"/>
    <col min="11822" max="11823" width="10.7109375" style="1" customWidth="1"/>
    <col min="11824" max="11824" width="1.85546875" style="1" customWidth="1"/>
    <col min="11825" max="11825" width="2" style="1" customWidth="1"/>
    <col min="11826" max="11848" width="0" style="1" hidden="1" customWidth="1"/>
    <col min="11849" max="11849" width="13" style="1" customWidth="1"/>
    <col min="11850" max="11851" width="12.28515625" style="1" customWidth="1"/>
    <col min="11852" max="12032" width="11.42578125" style="1"/>
    <col min="12033" max="12033" width="4.42578125" style="1" customWidth="1"/>
    <col min="12034" max="12034" width="26.28515625" style="1" customWidth="1"/>
    <col min="12035" max="12035" width="8.28515625" style="1" customWidth="1"/>
    <col min="12036" max="12036" width="9.7109375" style="1" customWidth="1"/>
    <col min="12037" max="12037" width="11.140625" style="1" customWidth="1"/>
    <col min="12038" max="12038" width="8.42578125" style="1" customWidth="1"/>
    <col min="12039" max="12039" width="10.140625" style="1" customWidth="1"/>
    <col min="12040" max="12040" width="10.5703125" style="1" customWidth="1"/>
    <col min="12041" max="12041" width="1.42578125" style="1" customWidth="1"/>
    <col min="12042" max="12042" width="1.7109375" style="1" customWidth="1"/>
    <col min="12043" max="12048" width="0" style="1" hidden="1" customWidth="1"/>
    <col min="12049" max="12049" width="10.140625" style="1" customWidth="1"/>
    <col min="12050" max="12050" width="6.5703125" style="1" customWidth="1"/>
    <col min="12051" max="12051" width="7.140625" style="1" customWidth="1"/>
    <col min="12052" max="12053" width="7.7109375" style="1" customWidth="1"/>
    <col min="12054" max="12055" width="9.140625" style="1" customWidth="1"/>
    <col min="12056" max="12056" width="1.42578125" style="1" customWidth="1"/>
    <col min="12057" max="12057" width="1.7109375" style="1" customWidth="1"/>
    <col min="12058" max="12068" width="0" style="1" hidden="1" customWidth="1"/>
    <col min="12069" max="12069" width="11.140625" style="1" customWidth="1"/>
    <col min="12070" max="12071" width="0" style="1" hidden="1" customWidth="1"/>
    <col min="12072" max="12072" width="13" style="1" customWidth="1"/>
    <col min="12073" max="12074" width="11.42578125" style="1"/>
    <col min="12075" max="12075" width="9.140625" style="1" customWidth="1"/>
    <col min="12076" max="12076" width="11.42578125" style="1"/>
    <col min="12077" max="12077" width="12.42578125" style="1" customWidth="1"/>
    <col min="12078" max="12079" width="10.7109375" style="1" customWidth="1"/>
    <col min="12080" max="12080" width="1.85546875" style="1" customWidth="1"/>
    <col min="12081" max="12081" width="2" style="1" customWidth="1"/>
    <col min="12082" max="12104" width="0" style="1" hidden="1" customWidth="1"/>
    <col min="12105" max="12105" width="13" style="1" customWidth="1"/>
    <col min="12106" max="12107" width="12.28515625" style="1" customWidth="1"/>
    <col min="12108" max="12288" width="11.42578125" style="1"/>
    <col min="12289" max="12289" width="4.42578125" style="1" customWidth="1"/>
    <col min="12290" max="12290" width="26.28515625" style="1" customWidth="1"/>
    <col min="12291" max="12291" width="8.28515625" style="1" customWidth="1"/>
    <col min="12292" max="12292" width="9.7109375" style="1" customWidth="1"/>
    <col min="12293" max="12293" width="11.140625" style="1" customWidth="1"/>
    <col min="12294" max="12294" width="8.42578125" style="1" customWidth="1"/>
    <col min="12295" max="12295" width="10.140625" style="1" customWidth="1"/>
    <col min="12296" max="12296" width="10.5703125" style="1" customWidth="1"/>
    <col min="12297" max="12297" width="1.42578125" style="1" customWidth="1"/>
    <col min="12298" max="12298" width="1.7109375" style="1" customWidth="1"/>
    <col min="12299" max="12304" width="0" style="1" hidden="1" customWidth="1"/>
    <col min="12305" max="12305" width="10.140625" style="1" customWidth="1"/>
    <col min="12306" max="12306" width="6.5703125" style="1" customWidth="1"/>
    <col min="12307" max="12307" width="7.140625" style="1" customWidth="1"/>
    <col min="12308" max="12309" width="7.7109375" style="1" customWidth="1"/>
    <col min="12310" max="12311" width="9.140625" style="1" customWidth="1"/>
    <col min="12312" max="12312" width="1.42578125" style="1" customWidth="1"/>
    <col min="12313" max="12313" width="1.7109375" style="1" customWidth="1"/>
    <col min="12314" max="12324" width="0" style="1" hidden="1" customWidth="1"/>
    <col min="12325" max="12325" width="11.140625" style="1" customWidth="1"/>
    <col min="12326" max="12327" width="0" style="1" hidden="1" customWidth="1"/>
    <col min="12328" max="12328" width="13" style="1" customWidth="1"/>
    <col min="12329" max="12330" width="11.42578125" style="1"/>
    <col min="12331" max="12331" width="9.140625" style="1" customWidth="1"/>
    <col min="12332" max="12332" width="11.42578125" style="1"/>
    <col min="12333" max="12333" width="12.42578125" style="1" customWidth="1"/>
    <col min="12334" max="12335" width="10.7109375" style="1" customWidth="1"/>
    <col min="12336" max="12336" width="1.85546875" style="1" customWidth="1"/>
    <col min="12337" max="12337" width="2" style="1" customWidth="1"/>
    <col min="12338" max="12360" width="0" style="1" hidden="1" customWidth="1"/>
    <col min="12361" max="12361" width="13" style="1" customWidth="1"/>
    <col min="12362" max="12363" width="12.28515625" style="1" customWidth="1"/>
    <col min="12364" max="12544" width="11.42578125" style="1"/>
    <col min="12545" max="12545" width="4.42578125" style="1" customWidth="1"/>
    <col min="12546" max="12546" width="26.28515625" style="1" customWidth="1"/>
    <col min="12547" max="12547" width="8.28515625" style="1" customWidth="1"/>
    <col min="12548" max="12548" width="9.7109375" style="1" customWidth="1"/>
    <col min="12549" max="12549" width="11.140625" style="1" customWidth="1"/>
    <col min="12550" max="12550" width="8.42578125" style="1" customWidth="1"/>
    <col min="12551" max="12551" width="10.140625" style="1" customWidth="1"/>
    <col min="12552" max="12552" width="10.5703125" style="1" customWidth="1"/>
    <col min="12553" max="12553" width="1.42578125" style="1" customWidth="1"/>
    <col min="12554" max="12554" width="1.7109375" style="1" customWidth="1"/>
    <col min="12555" max="12560" width="0" style="1" hidden="1" customWidth="1"/>
    <col min="12561" max="12561" width="10.140625" style="1" customWidth="1"/>
    <col min="12562" max="12562" width="6.5703125" style="1" customWidth="1"/>
    <col min="12563" max="12563" width="7.140625" style="1" customWidth="1"/>
    <col min="12564" max="12565" width="7.7109375" style="1" customWidth="1"/>
    <col min="12566" max="12567" width="9.140625" style="1" customWidth="1"/>
    <col min="12568" max="12568" width="1.42578125" style="1" customWidth="1"/>
    <col min="12569" max="12569" width="1.7109375" style="1" customWidth="1"/>
    <col min="12570" max="12580" width="0" style="1" hidden="1" customWidth="1"/>
    <col min="12581" max="12581" width="11.140625" style="1" customWidth="1"/>
    <col min="12582" max="12583" width="0" style="1" hidden="1" customWidth="1"/>
    <col min="12584" max="12584" width="13" style="1" customWidth="1"/>
    <col min="12585" max="12586" width="11.42578125" style="1"/>
    <col min="12587" max="12587" width="9.140625" style="1" customWidth="1"/>
    <col min="12588" max="12588" width="11.42578125" style="1"/>
    <col min="12589" max="12589" width="12.42578125" style="1" customWidth="1"/>
    <col min="12590" max="12591" width="10.7109375" style="1" customWidth="1"/>
    <col min="12592" max="12592" width="1.85546875" style="1" customWidth="1"/>
    <col min="12593" max="12593" width="2" style="1" customWidth="1"/>
    <col min="12594" max="12616" width="0" style="1" hidden="1" customWidth="1"/>
    <col min="12617" max="12617" width="13" style="1" customWidth="1"/>
    <col min="12618" max="12619" width="12.28515625" style="1" customWidth="1"/>
    <col min="12620" max="12800" width="11.42578125" style="1"/>
    <col min="12801" max="12801" width="4.42578125" style="1" customWidth="1"/>
    <col min="12802" max="12802" width="26.28515625" style="1" customWidth="1"/>
    <col min="12803" max="12803" width="8.28515625" style="1" customWidth="1"/>
    <col min="12804" max="12804" width="9.7109375" style="1" customWidth="1"/>
    <col min="12805" max="12805" width="11.140625" style="1" customWidth="1"/>
    <col min="12806" max="12806" width="8.42578125" style="1" customWidth="1"/>
    <col min="12807" max="12807" width="10.140625" style="1" customWidth="1"/>
    <col min="12808" max="12808" width="10.5703125" style="1" customWidth="1"/>
    <col min="12809" max="12809" width="1.42578125" style="1" customWidth="1"/>
    <col min="12810" max="12810" width="1.7109375" style="1" customWidth="1"/>
    <col min="12811" max="12816" width="0" style="1" hidden="1" customWidth="1"/>
    <col min="12817" max="12817" width="10.140625" style="1" customWidth="1"/>
    <col min="12818" max="12818" width="6.5703125" style="1" customWidth="1"/>
    <col min="12819" max="12819" width="7.140625" style="1" customWidth="1"/>
    <col min="12820" max="12821" width="7.7109375" style="1" customWidth="1"/>
    <col min="12822" max="12823" width="9.140625" style="1" customWidth="1"/>
    <col min="12824" max="12824" width="1.42578125" style="1" customWidth="1"/>
    <col min="12825" max="12825" width="1.7109375" style="1" customWidth="1"/>
    <col min="12826" max="12836" width="0" style="1" hidden="1" customWidth="1"/>
    <col min="12837" max="12837" width="11.140625" style="1" customWidth="1"/>
    <col min="12838" max="12839" width="0" style="1" hidden="1" customWidth="1"/>
    <col min="12840" max="12840" width="13" style="1" customWidth="1"/>
    <col min="12841" max="12842" width="11.42578125" style="1"/>
    <col min="12843" max="12843" width="9.140625" style="1" customWidth="1"/>
    <col min="12844" max="12844" width="11.42578125" style="1"/>
    <col min="12845" max="12845" width="12.42578125" style="1" customWidth="1"/>
    <col min="12846" max="12847" width="10.7109375" style="1" customWidth="1"/>
    <col min="12848" max="12848" width="1.85546875" style="1" customWidth="1"/>
    <col min="12849" max="12849" width="2" style="1" customWidth="1"/>
    <col min="12850" max="12872" width="0" style="1" hidden="1" customWidth="1"/>
    <col min="12873" max="12873" width="13" style="1" customWidth="1"/>
    <col min="12874" max="12875" width="12.28515625" style="1" customWidth="1"/>
    <col min="12876" max="13056" width="11.42578125" style="1"/>
    <col min="13057" max="13057" width="4.42578125" style="1" customWidth="1"/>
    <col min="13058" max="13058" width="26.28515625" style="1" customWidth="1"/>
    <col min="13059" max="13059" width="8.28515625" style="1" customWidth="1"/>
    <col min="13060" max="13060" width="9.7109375" style="1" customWidth="1"/>
    <col min="13061" max="13061" width="11.140625" style="1" customWidth="1"/>
    <col min="13062" max="13062" width="8.42578125" style="1" customWidth="1"/>
    <col min="13063" max="13063" width="10.140625" style="1" customWidth="1"/>
    <col min="13064" max="13064" width="10.5703125" style="1" customWidth="1"/>
    <col min="13065" max="13065" width="1.42578125" style="1" customWidth="1"/>
    <col min="13066" max="13066" width="1.7109375" style="1" customWidth="1"/>
    <col min="13067" max="13072" width="0" style="1" hidden="1" customWidth="1"/>
    <col min="13073" max="13073" width="10.140625" style="1" customWidth="1"/>
    <col min="13074" max="13074" width="6.5703125" style="1" customWidth="1"/>
    <col min="13075" max="13075" width="7.140625" style="1" customWidth="1"/>
    <col min="13076" max="13077" width="7.7109375" style="1" customWidth="1"/>
    <col min="13078" max="13079" width="9.140625" style="1" customWidth="1"/>
    <col min="13080" max="13080" width="1.42578125" style="1" customWidth="1"/>
    <col min="13081" max="13081" width="1.7109375" style="1" customWidth="1"/>
    <col min="13082" max="13092" width="0" style="1" hidden="1" customWidth="1"/>
    <col min="13093" max="13093" width="11.140625" style="1" customWidth="1"/>
    <col min="13094" max="13095" width="0" style="1" hidden="1" customWidth="1"/>
    <col min="13096" max="13096" width="13" style="1" customWidth="1"/>
    <col min="13097" max="13098" width="11.42578125" style="1"/>
    <col min="13099" max="13099" width="9.140625" style="1" customWidth="1"/>
    <col min="13100" max="13100" width="11.42578125" style="1"/>
    <col min="13101" max="13101" width="12.42578125" style="1" customWidth="1"/>
    <col min="13102" max="13103" width="10.7109375" style="1" customWidth="1"/>
    <col min="13104" max="13104" width="1.85546875" style="1" customWidth="1"/>
    <col min="13105" max="13105" width="2" style="1" customWidth="1"/>
    <col min="13106" max="13128" width="0" style="1" hidden="1" customWidth="1"/>
    <col min="13129" max="13129" width="13" style="1" customWidth="1"/>
    <col min="13130" max="13131" width="12.28515625" style="1" customWidth="1"/>
    <col min="13132" max="13312" width="11.42578125" style="1"/>
    <col min="13313" max="13313" width="4.42578125" style="1" customWidth="1"/>
    <col min="13314" max="13314" width="26.28515625" style="1" customWidth="1"/>
    <col min="13315" max="13315" width="8.28515625" style="1" customWidth="1"/>
    <col min="13316" max="13316" width="9.7109375" style="1" customWidth="1"/>
    <col min="13317" max="13317" width="11.140625" style="1" customWidth="1"/>
    <col min="13318" max="13318" width="8.42578125" style="1" customWidth="1"/>
    <col min="13319" max="13319" width="10.140625" style="1" customWidth="1"/>
    <col min="13320" max="13320" width="10.5703125" style="1" customWidth="1"/>
    <col min="13321" max="13321" width="1.42578125" style="1" customWidth="1"/>
    <col min="13322" max="13322" width="1.7109375" style="1" customWidth="1"/>
    <col min="13323" max="13328" width="0" style="1" hidden="1" customWidth="1"/>
    <col min="13329" max="13329" width="10.140625" style="1" customWidth="1"/>
    <col min="13330" max="13330" width="6.5703125" style="1" customWidth="1"/>
    <col min="13331" max="13331" width="7.140625" style="1" customWidth="1"/>
    <col min="13332" max="13333" width="7.7109375" style="1" customWidth="1"/>
    <col min="13334" max="13335" width="9.140625" style="1" customWidth="1"/>
    <col min="13336" max="13336" width="1.42578125" style="1" customWidth="1"/>
    <col min="13337" max="13337" width="1.7109375" style="1" customWidth="1"/>
    <col min="13338" max="13348" width="0" style="1" hidden="1" customWidth="1"/>
    <col min="13349" max="13349" width="11.140625" style="1" customWidth="1"/>
    <col min="13350" max="13351" width="0" style="1" hidden="1" customWidth="1"/>
    <col min="13352" max="13352" width="13" style="1" customWidth="1"/>
    <col min="13353" max="13354" width="11.42578125" style="1"/>
    <col min="13355" max="13355" width="9.140625" style="1" customWidth="1"/>
    <col min="13356" max="13356" width="11.42578125" style="1"/>
    <col min="13357" max="13357" width="12.42578125" style="1" customWidth="1"/>
    <col min="13358" max="13359" width="10.7109375" style="1" customWidth="1"/>
    <col min="13360" max="13360" width="1.85546875" style="1" customWidth="1"/>
    <col min="13361" max="13361" width="2" style="1" customWidth="1"/>
    <col min="13362" max="13384" width="0" style="1" hidden="1" customWidth="1"/>
    <col min="13385" max="13385" width="13" style="1" customWidth="1"/>
    <col min="13386" max="13387" width="12.28515625" style="1" customWidth="1"/>
    <col min="13388" max="13568" width="11.42578125" style="1"/>
    <col min="13569" max="13569" width="4.42578125" style="1" customWidth="1"/>
    <col min="13570" max="13570" width="26.28515625" style="1" customWidth="1"/>
    <col min="13571" max="13571" width="8.28515625" style="1" customWidth="1"/>
    <col min="13572" max="13572" width="9.7109375" style="1" customWidth="1"/>
    <col min="13573" max="13573" width="11.140625" style="1" customWidth="1"/>
    <col min="13574" max="13574" width="8.42578125" style="1" customWidth="1"/>
    <col min="13575" max="13575" width="10.140625" style="1" customWidth="1"/>
    <col min="13576" max="13576" width="10.5703125" style="1" customWidth="1"/>
    <col min="13577" max="13577" width="1.42578125" style="1" customWidth="1"/>
    <col min="13578" max="13578" width="1.7109375" style="1" customWidth="1"/>
    <col min="13579" max="13584" width="0" style="1" hidden="1" customWidth="1"/>
    <col min="13585" max="13585" width="10.140625" style="1" customWidth="1"/>
    <col min="13586" max="13586" width="6.5703125" style="1" customWidth="1"/>
    <col min="13587" max="13587" width="7.140625" style="1" customWidth="1"/>
    <col min="13588" max="13589" width="7.7109375" style="1" customWidth="1"/>
    <col min="13590" max="13591" width="9.140625" style="1" customWidth="1"/>
    <col min="13592" max="13592" width="1.42578125" style="1" customWidth="1"/>
    <col min="13593" max="13593" width="1.7109375" style="1" customWidth="1"/>
    <col min="13594" max="13604" width="0" style="1" hidden="1" customWidth="1"/>
    <col min="13605" max="13605" width="11.140625" style="1" customWidth="1"/>
    <col min="13606" max="13607" width="0" style="1" hidden="1" customWidth="1"/>
    <col min="13608" max="13608" width="13" style="1" customWidth="1"/>
    <col min="13609" max="13610" width="11.42578125" style="1"/>
    <col min="13611" max="13611" width="9.140625" style="1" customWidth="1"/>
    <col min="13612" max="13612" width="11.42578125" style="1"/>
    <col min="13613" max="13613" width="12.42578125" style="1" customWidth="1"/>
    <col min="13614" max="13615" width="10.7109375" style="1" customWidth="1"/>
    <col min="13616" max="13616" width="1.85546875" style="1" customWidth="1"/>
    <col min="13617" max="13617" width="2" style="1" customWidth="1"/>
    <col min="13618" max="13640" width="0" style="1" hidden="1" customWidth="1"/>
    <col min="13641" max="13641" width="13" style="1" customWidth="1"/>
    <col min="13642" max="13643" width="12.28515625" style="1" customWidth="1"/>
    <col min="13644" max="13824" width="11.42578125" style="1"/>
    <col min="13825" max="13825" width="4.42578125" style="1" customWidth="1"/>
    <col min="13826" max="13826" width="26.28515625" style="1" customWidth="1"/>
    <col min="13827" max="13827" width="8.28515625" style="1" customWidth="1"/>
    <col min="13828" max="13828" width="9.7109375" style="1" customWidth="1"/>
    <col min="13829" max="13829" width="11.140625" style="1" customWidth="1"/>
    <col min="13830" max="13830" width="8.42578125" style="1" customWidth="1"/>
    <col min="13831" max="13831" width="10.140625" style="1" customWidth="1"/>
    <col min="13832" max="13832" width="10.5703125" style="1" customWidth="1"/>
    <col min="13833" max="13833" width="1.42578125" style="1" customWidth="1"/>
    <col min="13834" max="13834" width="1.7109375" style="1" customWidth="1"/>
    <col min="13835" max="13840" width="0" style="1" hidden="1" customWidth="1"/>
    <col min="13841" max="13841" width="10.140625" style="1" customWidth="1"/>
    <col min="13842" max="13842" width="6.5703125" style="1" customWidth="1"/>
    <col min="13843" max="13843" width="7.140625" style="1" customWidth="1"/>
    <col min="13844" max="13845" width="7.7109375" style="1" customWidth="1"/>
    <col min="13846" max="13847" width="9.140625" style="1" customWidth="1"/>
    <col min="13848" max="13848" width="1.42578125" style="1" customWidth="1"/>
    <col min="13849" max="13849" width="1.7109375" style="1" customWidth="1"/>
    <col min="13850" max="13860" width="0" style="1" hidden="1" customWidth="1"/>
    <col min="13861" max="13861" width="11.140625" style="1" customWidth="1"/>
    <col min="13862" max="13863" width="0" style="1" hidden="1" customWidth="1"/>
    <col min="13864" max="13864" width="13" style="1" customWidth="1"/>
    <col min="13865" max="13866" width="11.42578125" style="1"/>
    <col min="13867" max="13867" width="9.140625" style="1" customWidth="1"/>
    <col min="13868" max="13868" width="11.42578125" style="1"/>
    <col min="13869" max="13869" width="12.42578125" style="1" customWidth="1"/>
    <col min="13870" max="13871" width="10.7109375" style="1" customWidth="1"/>
    <col min="13872" max="13872" width="1.85546875" style="1" customWidth="1"/>
    <col min="13873" max="13873" width="2" style="1" customWidth="1"/>
    <col min="13874" max="13896" width="0" style="1" hidden="1" customWidth="1"/>
    <col min="13897" max="13897" width="13" style="1" customWidth="1"/>
    <col min="13898" max="13899" width="12.28515625" style="1" customWidth="1"/>
    <col min="13900" max="14080" width="11.42578125" style="1"/>
    <col min="14081" max="14081" width="4.42578125" style="1" customWidth="1"/>
    <col min="14082" max="14082" width="26.28515625" style="1" customWidth="1"/>
    <col min="14083" max="14083" width="8.28515625" style="1" customWidth="1"/>
    <col min="14084" max="14084" width="9.7109375" style="1" customWidth="1"/>
    <col min="14085" max="14085" width="11.140625" style="1" customWidth="1"/>
    <col min="14086" max="14086" width="8.42578125" style="1" customWidth="1"/>
    <col min="14087" max="14087" width="10.140625" style="1" customWidth="1"/>
    <col min="14088" max="14088" width="10.5703125" style="1" customWidth="1"/>
    <col min="14089" max="14089" width="1.42578125" style="1" customWidth="1"/>
    <col min="14090" max="14090" width="1.7109375" style="1" customWidth="1"/>
    <col min="14091" max="14096" width="0" style="1" hidden="1" customWidth="1"/>
    <col min="14097" max="14097" width="10.140625" style="1" customWidth="1"/>
    <col min="14098" max="14098" width="6.5703125" style="1" customWidth="1"/>
    <col min="14099" max="14099" width="7.140625" style="1" customWidth="1"/>
    <col min="14100" max="14101" width="7.7109375" style="1" customWidth="1"/>
    <col min="14102" max="14103" width="9.140625" style="1" customWidth="1"/>
    <col min="14104" max="14104" width="1.42578125" style="1" customWidth="1"/>
    <col min="14105" max="14105" width="1.7109375" style="1" customWidth="1"/>
    <col min="14106" max="14116" width="0" style="1" hidden="1" customWidth="1"/>
    <col min="14117" max="14117" width="11.140625" style="1" customWidth="1"/>
    <col min="14118" max="14119" width="0" style="1" hidden="1" customWidth="1"/>
    <col min="14120" max="14120" width="13" style="1" customWidth="1"/>
    <col min="14121" max="14122" width="11.42578125" style="1"/>
    <col min="14123" max="14123" width="9.140625" style="1" customWidth="1"/>
    <col min="14124" max="14124" width="11.42578125" style="1"/>
    <col min="14125" max="14125" width="12.42578125" style="1" customWidth="1"/>
    <col min="14126" max="14127" width="10.7109375" style="1" customWidth="1"/>
    <col min="14128" max="14128" width="1.85546875" style="1" customWidth="1"/>
    <col min="14129" max="14129" width="2" style="1" customWidth="1"/>
    <col min="14130" max="14152" width="0" style="1" hidden="1" customWidth="1"/>
    <col min="14153" max="14153" width="13" style="1" customWidth="1"/>
    <col min="14154" max="14155" width="12.28515625" style="1" customWidth="1"/>
    <col min="14156" max="14336" width="11.42578125" style="1"/>
    <col min="14337" max="14337" width="4.42578125" style="1" customWidth="1"/>
    <col min="14338" max="14338" width="26.28515625" style="1" customWidth="1"/>
    <col min="14339" max="14339" width="8.28515625" style="1" customWidth="1"/>
    <col min="14340" max="14340" width="9.7109375" style="1" customWidth="1"/>
    <col min="14341" max="14341" width="11.140625" style="1" customWidth="1"/>
    <col min="14342" max="14342" width="8.42578125" style="1" customWidth="1"/>
    <col min="14343" max="14343" width="10.140625" style="1" customWidth="1"/>
    <col min="14344" max="14344" width="10.5703125" style="1" customWidth="1"/>
    <col min="14345" max="14345" width="1.42578125" style="1" customWidth="1"/>
    <col min="14346" max="14346" width="1.7109375" style="1" customWidth="1"/>
    <col min="14347" max="14352" width="0" style="1" hidden="1" customWidth="1"/>
    <col min="14353" max="14353" width="10.140625" style="1" customWidth="1"/>
    <col min="14354" max="14354" width="6.5703125" style="1" customWidth="1"/>
    <col min="14355" max="14355" width="7.140625" style="1" customWidth="1"/>
    <col min="14356" max="14357" width="7.7109375" style="1" customWidth="1"/>
    <col min="14358" max="14359" width="9.140625" style="1" customWidth="1"/>
    <col min="14360" max="14360" width="1.42578125" style="1" customWidth="1"/>
    <col min="14361" max="14361" width="1.7109375" style="1" customWidth="1"/>
    <col min="14362" max="14372" width="0" style="1" hidden="1" customWidth="1"/>
    <col min="14373" max="14373" width="11.140625" style="1" customWidth="1"/>
    <col min="14374" max="14375" width="0" style="1" hidden="1" customWidth="1"/>
    <col min="14376" max="14376" width="13" style="1" customWidth="1"/>
    <col min="14377" max="14378" width="11.42578125" style="1"/>
    <col min="14379" max="14379" width="9.140625" style="1" customWidth="1"/>
    <col min="14380" max="14380" width="11.42578125" style="1"/>
    <col min="14381" max="14381" width="12.42578125" style="1" customWidth="1"/>
    <col min="14382" max="14383" width="10.7109375" style="1" customWidth="1"/>
    <col min="14384" max="14384" width="1.85546875" style="1" customWidth="1"/>
    <col min="14385" max="14385" width="2" style="1" customWidth="1"/>
    <col min="14386" max="14408" width="0" style="1" hidden="1" customWidth="1"/>
    <col min="14409" max="14409" width="13" style="1" customWidth="1"/>
    <col min="14410" max="14411" width="12.28515625" style="1" customWidth="1"/>
    <col min="14412" max="14592" width="11.42578125" style="1"/>
    <col min="14593" max="14593" width="4.42578125" style="1" customWidth="1"/>
    <col min="14594" max="14594" width="26.28515625" style="1" customWidth="1"/>
    <col min="14595" max="14595" width="8.28515625" style="1" customWidth="1"/>
    <col min="14596" max="14596" width="9.7109375" style="1" customWidth="1"/>
    <col min="14597" max="14597" width="11.140625" style="1" customWidth="1"/>
    <col min="14598" max="14598" width="8.42578125" style="1" customWidth="1"/>
    <col min="14599" max="14599" width="10.140625" style="1" customWidth="1"/>
    <col min="14600" max="14600" width="10.5703125" style="1" customWidth="1"/>
    <col min="14601" max="14601" width="1.42578125" style="1" customWidth="1"/>
    <col min="14602" max="14602" width="1.7109375" style="1" customWidth="1"/>
    <col min="14603" max="14608" width="0" style="1" hidden="1" customWidth="1"/>
    <col min="14609" max="14609" width="10.140625" style="1" customWidth="1"/>
    <col min="14610" max="14610" width="6.5703125" style="1" customWidth="1"/>
    <col min="14611" max="14611" width="7.140625" style="1" customWidth="1"/>
    <col min="14612" max="14613" width="7.7109375" style="1" customWidth="1"/>
    <col min="14614" max="14615" width="9.140625" style="1" customWidth="1"/>
    <col min="14616" max="14616" width="1.42578125" style="1" customWidth="1"/>
    <col min="14617" max="14617" width="1.7109375" style="1" customWidth="1"/>
    <col min="14618" max="14628" width="0" style="1" hidden="1" customWidth="1"/>
    <col min="14629" max="14629" width="11.140625" style="1" customWidth="1"/>
    <col min="14630" max="14631" width="0" style="1" hidden="1" customWidth="1"/>
    <col min="14632" max="14632" width="13" style="1" customWidth="1"/>
    <col min="14633" max="14634" width="11.42578125" style="1"/>
    <col min="14635" max="14635" width="9.140625" style="1" customWidth="1"/>
    <col min="14636" max="14636" width="11.42578125" style="1"/>
    <col min="14637" max="14637" width="12.42578125" style="1" customWidth="1"/>
    <col min="14638" max="14639" width="10.7109375" style="1" customWidth="1"/>
    <col min="14640" max="14640" width="1.85546875" style="1" customWidth="1"/>
    <col min="14641" max="14641" width="2" style="1" customWidth="1"/>
    <col min="14642" max="14664" width="0" style="1" hidden="1" customWidth="1"/>
    <col min="14665" max="14665" width="13" style="1" customWidth="1"/>
    <col min="14666" max="14667" width="12.28515625" style="1" customWidth="1"/>
    <col min="14668" max="14848" width="11.42578125" style="1"/>
    <col min="14849" max="14849" width="4.42578125" style="1" customWidth="1"/>
    <col min="14850" max="14850" width="26.28515625" style="1" customWidth="1"/>
    <col min="14851" max="14851" width="8.28515625" style="1" customWidth="1"/>
    <col min="14852" max="14852" width="9.7109375" style="1" customWidth="1"/>
    <col min="14853" max="14853" width="11.140625" style="1" customWidth="1"/>
    <col min="14854" max="14854" width="8.42578125" style="1" customWidth="1"/>
    <col min="14855" max="14855" width="10.140625" style="1" customWidth="1"/>
    <col min="14856" max="14856" width="10.5703125" style="1" customWidth="1"/>
    <col min="14857" max="14857" width="1.42578125" style="1" customWidth="1"/>
    <col min="14858" max="14858" width="1.7109375" style="1" customWidth="1"/>
    <col min="14859" max="14864" width="0" style="1" hidden="1" customWidth="1"/>
    <col min="14865" max="14865" width="10.140625" style="1" customWidth="1"/>
    <col min="14866" max="14866" width="6.5703125" style="1" customWidth="1"/>
    <col min="14867" max="14867" width="7.140625" style="1" customWidth="1"/>
    <col min="14868" max="14869" width="7.7109375" style="1" customWidth="1"/>
    <col min="14870" max="14871" width="9.140625" style="1" customWidth="1"/>
    <col min="14872" max="14872" width="1.42578125" style="1" customWidth="1"/>
    <col min="14873" max="14873" width="1.7109375" style="1" customWidth="1"/>
    <col min="14874" max="14884" width="0" style="1" hidden="1" customWidth="1"/>
    <col min="14885" max="14885" width="11.140625" style="1" customWidth="1"/>
    <col min="14886" max="14887" width="0" style="1" hidden="1" customWidth="1"/>
    <col min="14888" max="14888" width="13" style="1" customWidth="1"/>
    <col min="14889" max="14890" width="11.42578125" style="1"/>
    <col min="14891" max="14891" width="9.140625" style="1" customWidth="1"/>
    <col min="14892" max="14892" width="11.42578125" style="1"/>
    <col min="14893" max="14893" width="12.42578125" style="1" customWidth="1"/>
    <col min="14894" max="14895" width="10.7109375" style="1" customWidth="1"/>
    <col min="14896" max="14896" width="1.85546875" style="1" customWidth="1"/>
    <col min="14897" max="14897" width="2" style="1" customWidth="1"/>
    <col min="14898" max="14920" width="0" style="1" hidden="1" customWidth="1"/>
    <col min="14921" max="14921" width="13" style="1" customWidth="1"/>
    <col min="14922" max="14923" width="12.28515625" style="1" customWidth="1"/>
    <col min="14924" max="15104" width="11.42578125" style="1"/>
    <col min="15105" max="15105" width="4.42578125" style="1" customWidth="1"/>
    <col min="15106" max="15106" width="26.28515625" style="1" customWidth="1"/>
    <col min="15107" max="15107" width="8.28515625" style="1" customWidth="1"/>
    <col min="15108" max="15108" width="9.7109375" style="1" customWidth="1"/>
    <col min="15109" max="15109" width="11.140625" style="1" customWidth="1"/>
    <col min="15110" max="15110" width="8.42578125" style="1" customWidth="1"/>
    <col min="15111" max="15111" width="10.140625" style="1" customWidth="1"/>
    <col min="15112" max="15112" width="10.5703125" style="1" customWidth="1"/>
    <col min="15113" max="15113" width="1.42578125" style="1" customWidth="1"/>
    <col min="15114" max="15114" width="1.7109375" style="1" customWidth="1"/>
    <col min="15115" max="15120" width="0" style="1" hidden="1" customWidth="1"/>
    <col min="15121" max="15121" width="10.140625" style="1" customWidth="1"/>
    <col min="15122" max="15122" width="6.5703125" style="1" customWidth="1"/>
    <col min="15123" max="15123" width="7.140625" style="1" customWidth="1"/>
    <col min="15124" max="15125" width="7.7109375" style="1" customWidth="1"/>
    <col min="15126" max="15127" width="9.140625" style="1" customWidth="1"/>
    <col min="15128" max="15128" width="1.42578125" style="1" customWidth="1"/>
    <col min="15129" max="15129" width="1.7109375" style="1" customWidth="1"/>
    <col min="15130" max="15140" width="0" style="1" hidden="1" customWidth="1"/>
    <col min="15141" max="15141" width="11.140625" style="1" customWidth="1"/>
    <col min="15142" max="15143" width="0" style="1" hidden="1" customWidth="1"/>
    <col min="15144" max="15144" width="13" style="1" customWidth="1"/>
    <col min="15145" max="15146" width="11.42578125" style="1"/>
    <col min="15147" max="15147" width="9.140625" style="1" customWidth="1"/>
    <col min="15148" max="15148" width="11.42578125" style="1"/>
    <col min="15149" max="15149" width="12.42578125" style="1" customWidth="1"/>
    <col min="15150" max="15151" width="10.7109375" style="1" customWidth="1"/>
    <col min="15152" max="15152" width="1.85546875" style="1" customWidth="1"/>
    <col min="15153" max="15153" width="2" style="1" customWidth="1"/>
    <col min="15154" max="15176" width="0" style="1" hidden="1" customWidth="1"/>
    <col min="15177" max="15177" width="13" style="1" customWidth="1"/>
    <col min="15178" max="15179" width="12.28515625" style="1" customWidth="1"/>
    <col min="15180" max="15360" width="11.42578125" style="1"/>
    <col min="15361" max="15361" width="4.42578125" style="1" customWidth="1"/>
    <col min="15362" max="15362" width="26.28515625" style="1" customWidth="1"/>
    <col min="15363" max="15363" width="8.28515625" style="1" customWidth="1"/>
    <col min="15364" max="15364" width="9.7109375" style="1" customWidth="1"/>
    <col min="15365" max="15365" width="11.140625" style="1" customWidth="1"/>
    <col min="15366" max="15366" width="8.42578125" style="1" customWidth="1"/>
    <col min="15367" max="15367" width="10.140625" style="1" customWidth="1"/>
    <col min="15368" max="15368" width="10.5703125" style="1" customWidth="1"/>
    <col min="15369" max="15369" width="1.42578125" style="1" customWidth="1"/>
    <col min="15370" max="15370" width="1.7109375" style="1" customWidth="1"/>
    <col min="15371" max="15376" width="0" style="1" hidden="1" customWidth="1"/>
    <col min="15377" max="15377" width="10.140625" style="1" customWidth="1"/>
    <col min="15378" max="15378" width="6.5703125" style="1" customWidth="1"/>
    <col min="15379" max="15379" width="7.140625" style="1" customWidth="1"/>
    <col min="15380" max="15381" width="7.7109375" style="1" customWidth="1"/>
    <col min="15382" max="15383" width="9.140625" style="1" customWidth="1"/>
    <col min="15384" max="15384" width="1.42578125" style="1" customWidth="1"/>
    <col min="15385" max="15385" width="1.7109375" style="1" customWidth="1"/>
    <col min="15386" max="15396" width="0" style="1" hidden="1" customWidth="1"/>
    <col min="15397" max="15397" width="11.140625" style="1" customWidth="1"/>
    <col min="15398" max="15399" width="0" style="1" hidden="1" customWidth="1"/>
    <col min="15400" max="15400" width="13" style="1" customWidth="1"/>
    <col min="15401" max="15402" width="11.42578125" style="1"/>
    <col min="15403" max="15403" width="9.140625" style="1" customWidth="1"/>
    <col min="15404" max="15404" width="11.42578125" style="1"/>
    <col min="15405" max="15405" width="12.42578125" style="1" customWidth="1"/>
    <col min="15406" max="15407" width="10.7109375" style="1" customWidth="1"/>
    <col min="15408" max="15408" width="1.85546875" style="1" customWidth="1"/>
    <col min="15409" max="15409" width="2" style="1" customWidth="1"/>
    <col min="15410" max="15432" width="0" style="1" hidden="1" customWidth="1"/>
    <col min="15433" max="15433" width="13" style="1" customWidth="1"/>
    <col min="15434" max="15435" width="12.28515625" style="1" customWidth="1"/>
    <col min="15436" max="15616" width="11.42578125" style="1"/>
    <col min="15617" max="15617" width="4.42578125" style="1" customWidth="1"/>
    <col min="15618" max="15618" width="26.28515625" style="1" customWidth="1"/>
    <col min="15619" max="15619" width="8.28515625" style="1" customWidth="1"/>
    <col min="15620" max="15620" width="9.7109375" style="1" customWidth="1"/>
    <col min="15621" max="15621" width="11.140625" style="1" customWidth="1"/>
    <col min="15622" max="15622" width="8.42578125" style="1" customWidth="1"/>
    <col min="15623" max="15623" width="10.140625" style="1" customWidth="1"/>
    <col min="15624" max="15624" width="10.5703125" style="1" customWidth="1"/>
    <col min="15625" max="15625" width="1.42578125" style="1" customWidth="1"/>
    <col min="15626" max="15626" width="1.7109375" style="1" customWidth="1"/>
    <col min="15627" max="15632" width="0" style="1" hidden="1" customWidth="1"/>
    <col min="15633" max="15633" width="10.140625" style="1" customWidth="1"/>
    <col min="15634" max="15634" width="6.5703125" style="1" customWidth="1"/>
    <col min="15635" max="15635" width="7.140625" style="1" customWidth="1"/>
    <col min="15636" max="15637" width="7.7109375" style="1" customWidth="1"/>
    <col min="15638" max="15639" width="9.140625" style="1" customWidth="1"/>
    <col min="15640" max="15640" width="1.42578125" style="1" customWidth="1"/>
    <col min="15641" max="15641" width="1.7109375" style="1" customWidth="1"/>
    <col min="15642" max="15652" width="0" style="1" hidden="1" customWidth="1"/>
    <col min="15653" max="15653" width="11.140625" style="1" customWidth="1"/>
    <col min="15654" max="15655" width="0" style="1" hidden="1" customWidth="1"/>
    <col min="15656" max="15656" width="13" style="1" customWidth="1"/>
    <col min="15657" max="15658" width="11.42578125" style="1"/>
    <col min="15659" max="15659" width="9.140625" style="1" customWidth="1"/>
    <col min="15660" max="15660" width="11.42578125" style="1"/>
    <col min="15661" max="15661" width="12.42578125" style="1" customWidth="1"/>
    <col min="15662" max="15663" width="10.7109375" style="1" customWidth="1"/>
    <col min="15664" max="15664" width="1.85546875" style="1" customWidth="1"/>
    <col min="15665" max="15665" width="2" style="1" customWidth="1"/>
    <col min="15666" max="15688" width="0" style="1" hidden="1" customWidth="1"/>
    <col min="15689" max="15689" width="13" style="1" customWidth="1"/>
    <col min="15690" max="15691" width="12.28515625" style="1" customWidth="1"/>
    <col min="15692" max="15872" width="11.42578125" style="1"/>
    <col min="15873" max="15873" width="4.42578125" style="1" customWidth="1"/>
    <col min="15874" max="15874" width="26.28515625" style="1" customWidth="1"/>
    <col min="15875" max="15875" width="8.28515625" style="1" customWidth="1"/>
    <col min="15876" max="15876" width="9.7109375" style="1" customWidth="1"/>
    <col min="15877" max="15877" width="11.140625" style="1" customWidth="1"/>
    <col min="15878" max="15878" width="8.42578125" style="1" customWidth="1"/>
    <col min="15879" max="15879" width="10.140625" style="1" customWidth="1"/>
    <col min="15880" max="15880" width="10.5703125" style="1" customWidth="1"/>
    <col min="15881" max="15881" width="1.42578125" style="1" customWidth="1"/>
    <col min="15882" max="15882" width="1.7109375" style="1" customWidth="1"/>
    <col min="15883" max="15888" width="0" style="1" hidden="1" customWidth="1"/>
    <col min="15889" max="15889" width="10.140625" style="1" customWidth="1"/>
    <col min="15890" max="15890" width="6.5703125" style="1" customWidth="1"/>
    <col min="15891" max="15891" width="7.140625" style="1" customWidth="1"/>
    <col min="15892" max="15893" width="7.7109375" style="1" customWidth="1"/>
    <col min="15894" max="15895" width="9.140625" style="1" customWidth="1"/>
    <col min="15896" max="15896" width="1.42578125" style="1" customWidth="1"/>
    <col min="15897" max="15897" width="1.7109375" style="1" customWidth="1"/>
    <col min="15898" max="15908" width="0" style="1" hidden="1" customWidth="1"/>
    <col min="15909" max="15909" width="11.140625" style="1" customWidth="1"/>
    <col min="15910" max="15911" width="0" style="1" hidden="1" customWidth="1"/>
    <col min="15912" max="15912" width="13" style="1" customWidth="1"/>
    <col min="15913" max="15914" width="11.42578125" style="1"/>
    <col min="15915" max="15915" width="9.140625" style="1" customWidth="1"/>
    <col min="15916" max="15916" width="11.42578125" style="1"/>
    <col min="15917" max="15917" width="12.42578125" style="1" customWidth="1"/>
    <col min="15918" max="15919" width="10.7109375" style="1" customWidth="1"/>
    <col min="15920" max="15920" width="1.85546875" style="1" customWidth="1"/>
    <col min="15921" max="15921" width="2" style="1" customWidth="1"/>
    <col min="15922" max="15944" width="0" style="1" hidden="1" customWidth="1"/>
    <col min="15945" max="15945" width="13" style="1" customWidth="1"/>
    <col min="15946" max="15947" width="12.28515625" style="1" customWidth="1"/>
    <col min="15948" max="16128" width="11.42578125" style="1"/>
    <col min="16129" max="16129" width="4.42578125" style="1" customWidth="1"/>
    <col min="16130" max="16130" width="26.28515625" style="1" customWidth="1"/>
    <col min="16131" max="16131" width="8.28515625" style="1" customWidth="1"/>
    <col min="16132" max="16132" width="9.7109375" style="1" customWidth="1"/>
    <col min="16133" max="16133" width="11.140625" style="1" customWidth="1"/>
    <col min="16134" max="16134" width="8.42578125" style="1" customWidth="1"/>
    <col min="16135" max="16135" width="10.140625" style="1" customWidth="1"/>
    <col min="16136" max="16136" width="10.5703125" style="1" customWidth="1"/>
    <col min="16137" max="16137" width="1.42578125" style="1" customWidth="1"/>
    <col min="16138" max="16138" width="1.7109375" style="1" customWidth="1"/>
    <col min="16139" max="16144" width="0" style="1" hidden="1" customWidth="1"/>
    <col min="16145" max="16145" width="10.140625" style="1" customWidth="1"/>
    <col min="16146" max="16146" width="6.5703125" style="1" customWidth="1"/>
    <col min="16147" max="16147" width="7.140625" style="1" customWidth="1"/>
    <col min="16148" max="16149" width="7.7109375" style="1" customWidth="1"/>
    <col min="16150" max="16151" width="9.140625" style="1" customWidth="1"/>
    <col min="16152" max="16152" width="1.42578125" style="1" customWidth="1"/>
    <col min="16153" max="16153" width="1.7109375" style="1" customWidth="1"/>
    <col min="16154" max="16164" width="0" style="1" hidden="1" customWidth="1"/>
    <col min="16165" max="16165" width="11.140625" style="1" customWidth="1"/>
    <col min="16166" max="16167" width="0" style="1" hidden="1" customWidth="1"/>
    <col min="16168" max="16168" width="13" style="1" customWidth="1"/>
    <col min="16169" max="16170" width="11.42578125" style="1"/>
    <col min="16171" max="16171" width="9.140625" style="1" customWidth="1"/>
    <col min="16172" max="16172" width="11.42578125" style="1"/>
    <col min="16173" max="16173" width="12.42578125" style="1" customWidth="1"/>
    <col min="16174" max="16175" width="10.7109375" style="1" customWidth="1"/>
    <col min="16176" max="16176" width="1.85546875" style="1" customWidth="1"/>
    <col min="16177" max="16177" width="2" style="1" customWidth="1"/>
    <col min="16178" max="16200" width="0" style="1" hidden="1" customWidth="1"/>
    <col min="16201" max="16201" width="13" style="1" customWidth="1"/>
    <col min="16202" max="16203" width="12.28515625" style="1" customWidth="1"/>
    <col min="16204" max="16384" width="11.42578125" style="1"/>
  </cols>
  <sheetData>
    <row r="1" spans="1:256">
      <c r="B1" s="113" t="s">
        <v>173</v>
      </c>
      <c r="C1" s="114">
        <v>0</v>
      </c>
      <c r="D1" s="114" t="s">
        <v>174</v>
      </c>
      <c r="E1" s="115">
        <v>0.01</v>
      </c>
      <c r="Y1" s="1"/>
      <c r="AF1" s="1"/>
      <c r="BS1" s="1"/>
      <c r="BT1" s="1"/>
    </row>
    <row r="2" spans="1:256">
      <c r="Y2" s="1"/>
      <c r="AF2" s="1"/>
      <c r="BS2" s="1"/>
      <c r="BT2" s="1"/>
    </row>
    <row r="3" spans="1:256">
      <c r="A3" s="116"/>
      <c r="B3" s="117"/>
      <c r="C3" s="118"/>
      <c r="D3" s="118"/>
      <c r="E3" s="117"/>
      <c r="F3" s="116"/>
      <c r="G3" s="119"/>
      <c r="H3" s="119"/>
      <c r="I3" s="120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20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20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</row>
    <row r="4" spans="1:256" ht="15">
      <c r="A4" s="116"/>
      <c r="B4" s="121" t="s">
        <v>175</v>
      </c>
      <c r="C4" s="118"/>
      <c r="D4" s="118"/>
      <c r="E4" s="117"/>
      <c r="F4" s="116"/>
      <c r="G4" s="119"/>
      <c r="H4" s="119"/>
      <c r="I4" s="120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20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20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</row>
    <row r="5" spans="1:256">
      <c r="A5" s="122"/>
      <c r="B5" s="122"/>
      <c r="C5" s="122"/>
      <c r="D5" s="122"/>
      <c r="E5" s="379"/>
      <c r="F5" s="122"/>
      <c r="G5" s="122"/>
      <c r="H5" s="122"/>
      <c r="I5" s="10"/>
      <c r="J5" s="416" t="s">
        <v>176</v>
      </c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8"/>
      <c r="X5" s="123"/>
      <c r="Y5" s="419" t="s">
        <v>177</v>
      </c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1"/>
      <c r="AV5" s="123"/>
      <c r="AW5" s="416" t="s">
        <v>178</v>
      </c>
      <c r="AX5" s="417"/>
      <c r="AY5" s="417"/>
      <c r="AZ5" s="417"/>
      <c r="BA5" s="417"/>
      <c r="BB5" s="417"/>
      <c r="BC5" s="417"/>
      <c r="BD5" s="417"/>
      <c r="BE5" s="417"/>
      <c r="BF5" s="417"/>
      <c r="BG5" s="417"/>
      <c r="BH5" s="417"/>
      <c r="BI5" s="417"/>
      <c r="BJ5" s="417"/>
      <c r="BK5" s="417"/>
      <c r="BL5" s="417"/>
      <c r="BM5" s="417"/>
      <c r="BN5" s="417"/>
      <c r="BO5" s="417"/>
      <c r="BP5" s="417"/>
      <c r="BQ5" s="417"/>
      <c r="BR5" s="417"/>
      <c r="BS5" s="417"/>
      <c r="BT5" s="417"/>
      <c r="BU5" s="417"/>
      <c r="BV5" s="417"/>
      <c r="BW5" s="418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</row>
    <row r="6" spans="1:256">
      <c r="A6" s="124"/>
      <c r="B6" s="71" t="s">
        <v>155</v>
      </c>
      <c r="C6" s="405" t="s">
        <v>156</v>
      </c>
      <c r="D6" s="405"/>
      <c r="E6" s="405"/>
      <c r="F6" s="405" t="s">
        <v>157</v>
      </c>
      <c r="G6" s="405"/>
      <c r="H6" s="405"/>
      <c r="I6" s="125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126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126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65.25">
      <c r="A7" s="122"/>
      <c r="B7" s="72" t="s">
        <v>207</v>
      </c>
      <c r="C7" s="73" t="s">
        <v>158</v>
      </c>
      <c r="D7" s="73" t="s">
        <v>159</v>
      </c>
      <c r="E7" s="73" t="s">
        <v>1</v>
      </c>
      <c r="F7" s="73" t="s">
        <v>158</v>
      </c>
      <c r="G7" s="73" t="s">
        <v>159</v>
      </c>
      <c r="H7" s="73" t="s">
        <v>1</v>
      </c>
      <c r="I7" s="127"/>
      <c r="K7" s="128" t="s">
        <v>266</v>
      </c>
      <c r="L7" s="128" t="s">
        <v>267</v>
      </c>
      <c r="M7" s="128" t="s">
        <v>268</v>
      </c>
      <c r="N7" s="129" t="s">
        <v>269</v>
      </c>
      <c r="O7" s="129" t="s">
        <v>179</v>
      </c>
      <c r="P7" s="129" t="s">
        <v>180</v>
      </c>
      <c r="Q7" s="130" t="s">
        <v>181</v>
      </c>
      <c r="R7" s="128" t="s">
        <v>182</v>
      </c>
      <c r="S7" s="131" t="s">
        <v>183</v>
      </c>
      <c r="T7" s="131" t="s">
        <v>184</v>
      </c>
      <c r="U7" s="131" t="s">
        <v>185</v>
      </c>
      <c r="V7" s="132" t="s">
        <v>161</v>
      </c>
      <c r="W7" s="133" t="s">
        <v>162</v>
      </c>
      <c r="X7" s="134"/>
      <c r="Y7" s="81"/>
      <c r="Z7" s="135" t="s">
        <v>186</v>
      </c>
      <c r="AA7" s="129" t="s">
        <v>270</v>
      </c>
      <c r="AB7" s="136" t="s">
        <v>187</v>
      </c>
      <c r="AC7" s="136" t="s">
        <v>188</v>
      </c>
      <c r="AD7" s="136" t="s">
        <v>271</v>
      </c>
      <c r="AE7" s="129" t="s">
        <v>272</v>
      </c>
      <c r="AF7" s="129" t="s">
        <v>273</v>
      </c>
      <c r="AG7" s="137" t="s">
        <v>274</v>
      </c>
      <c r="AH7" s="137" t="s">
        <v>275</v>
      </c>
      <c r="AI7" s="136" t="s">
        <v>276</v>
      </c>
      <c r="AJ7" s="129" t="s">
        <v>277</v>
      </c>
      <c r="AK7" s="129" t="s">
        <v>278</v>
      </c>
      <c r="AL7" s="129" t="s">
        <v>279</v>
      </c>
      <c r="AM7" s="136" t="s">
        <v>189</v>
      </c>
      <c r="AN7" s="138" t="s">
        <v>190</v>
      </c>
      <c r="AO7" s="129" t="s">
        <v>191</v>
      </c>
      <c r="AP7" s="129" t="s">
        <v>192</v>
      </c>
      <c r="AQ7" s="139" t="s">
        <v>183</v>
      </c>
      <c r="AR7" s="131" t="s">
        <v>193</v>
      </c>
      <c r="AS7" s="131" t="s">
        <v>194</v>
      </c>
      <c r="AT7" s="132" t="s">
        <v>161</v>
      </c>
      <c r="AU7" s="133" t="s">
        <v>162</v>
      </c>
      <c r="AV7" s="134"/>
      <c r="AX7" s="140" t="s">
        <v>195</v>
      </c>
      <c r="AY7" s="140" t="s">
        <v>187</v>
      </c>
      <c r="AZ7" s="141" t="s">
        <v>280</v>
      </c>
      <c r="BA7" s="142" t="s">
        <v>281</v>
      </c>
      <c r="BC7" s="136" t="s">
        <v>282</v>
      </c>
      <c r="BD7" s="136" t="s">
        <v>283</v>
      </c>
      <c r="BE7" s="136" t="s">
        <v>196</v>
      </c>
      <c r="BF7" s="136" t="s">
        <v>197</v>
      </c>
      <c r="BG7" s="136" t="s">
        <v>198</v>
      </c>
      <c r="BH7" s="136" t="s">
        <v>199</v>
      </c>
      <c r="BI7" s="136" t="s">
        <v>200</v>
      </c>
      <c r="BJ7" s="136" t="s">
        <v>284</v>
      </c>
      <c r="BK7" s="136" t="s">
        <v>201</v>
      </c>
      <c r="BL7" s="136" t="s">
        <v>202</v>
      </c>
      <c r="BM7" s="143" t="s">
        <v>285</v>
      </c>
      <c r="BN7" s="143" t="s">
        <v>286</v>
      </c>
      <c r="BO7" s="143" t="s">
        <v>287</v>
      </c>
      <c r="BP7" s="143" t="s">
        <v>288</v>
      </c>
      <c r="BQ7" s="143" t="s">
        <v>289</v>
      </c>
      <c r="BR7" s="144"/>
      <c r="BS7" s="131" t="s">
        <v>290</v>
      </c>
      <c r="BT7" s="131" t="s">
        <v>291</v>
      </c>
      <c r="BU7" s="130" t="s">
        <v>292</v>
      </c>
      <c r="BV7" s="132" t="s">
        <v>293</v>
      </c>
      <c r="BW7" s="133" t="s">
        <v>294</v>
      </c>
    </row>
    <row r="8" spans="1:256">
      <c r="A8" s="116"/>
      <c r="B8" s="106" t="s">
        <v>3</v>
      </c>
      <c r="C8" s="74">
        <v>257</v>
      </c>
      <c r="D8" s="75">
        <f>E8-C8</f>
        <v>4871</v>
      </c>
      <c r="E8" s="76">
        <v>5128</v>
      </c>
      <c r="F8" s="74">
        <v>203</v>
      </c>
      <c r="G8" s="75">
        <f>H8-F8</f>
        <v>4920</v>
      </c>
      <c r="H8" s="76">
        <v>5123</v>
      </c>
      <c r="I8" s="146"/>
      <c r="K8" s="147">
        <f>(C8/E8)/(F8/H8)</f>
        <v>1.2647754432344782</v>
      </c>
      <c r="L8" s="148">
        <f>(D8/(C8*E8)+(G8/(F8*H8)))</f>
        <v>8.4269530316318231E-3</v>
      </c>
      <c r="M8" s="149">
        <f>1/L8</f>
        <v>118.66685339841709</v>
      </c>
      <c r="N8" s="150">
        <f>LN(K8)</f>
        <v>0.23489459119212883</v>
      </c>
      <c r="O8" s="150">
        <f>M8*N8</f>
        <v>27.874202017077465</v>
      </c>
      <c r="P8" s="150">
        <f>LN(K8)</f>
        <v>0.23489459119212883</v>
      </c>
      <c r="Q8" s="381">
        <f>K8</f>
        <v>1.2647754432344782</v>
      </c>
      <c r="R8" s="151">
        <f>SQRT(1/M8)</f>
        <v>9.1798436978152431E-2</v>
      </c>
      <c r="S8" s="152">
        <f>-NORMSINV(2.5/100)</f>
        <v>1.9599639845400538</v>
      </c>
      <c r="T8" s="153">
        <f>P8-(R8*S8)</f>
        <v>5.4972960877880173E-2</v>
      </c>
      <c r="U8" s="153">
        <f>P8+(R8*S8)</f>
        <v>0.41481622150637748</v>
      </c>
      <c r="V8" s="154">
        <f>EXP(T8)</f>
        <v>1.0565120471310119</v>
      </c>
      <c r="W8" s="155">
        <f>EXP(U8)</f>
        <v>1.514092457490555</v>
      </c>
      <c r="X8" s="156"/>
      <c r="Z8" s="157">
        <f>(N8-P13)^2</f>
        <v>6.5248605238305724E-2</v>
      </c>
      <c r="AA8" s="158">
        <f>M8*Z8</f>
        <v>7.7428466722652143</v>
      </c>
      <c r="AB8" s="159">
        <v>1</v>
      </c>
      <c r="AC8" s="144"/>
      <c r="AD8" s="144"/>
      <c r="AE8" s="149">
        <f>M8^2</f>
        <v>14081.822095481413</v>
      </c>
      <c r="AF8" s="160"/>
      <c r="AG8" s="161">
        <f>AG13</f>
        <v>1.1061195777311534E-2</v>
      </c>
      <c r="AH8" s="161">
        <f>AH13</f>
        <v>1.1061195777311534E-2</v>
      </c>
      <c r="AI8" s="158">
        <f>1/M8</f>
        <v>8.4269530316318231E-3</v>
      </c>
      <c r="AJ8" s="162">
        <f>1/(AH8+AI8)</f>
        <v>51.31323707570867</v>
      </c>
      <c r="AK8" s="163">
        <f>AJ8/AJ13</f>
        <v>0.19338764357749644</v>
      </c>
      <c r="AL8" s="164">
        <f>AJ8*N8</f>
        <v>12.053201845643375</v>
      </c>
      <c r="AM8" s="165">
        <f>AL8/AJ8</f>
        <v>0.2348945911921288</v>
      </c>
      <c r="AN8" s="155">
        <f>EXP(AM8)</f>
        <v>1.2647754432344782</v>
      </c>
      <c r="AO8" s="166">
        <f>1/AJ8</f>
        <v>1.9488148808943357E-2</v>
      </c>
      <c r="AP8" s="155">
        <f>SQRT(AO8)</f>
        <v>0.13959995991741314</v>
      </c>
      <c r="AQ8" s="167">
        <f>-NORMSINV(2.5/100)</f>
        <v>1.9599639845400538</v>
      </c>
      <c r="AR8" s="153">
        <f>AM8-(AQ8*AP8)</f>
        <v>-3.8716302489236076E-2</v>
      </c>
      <c r="AS8" s="153">
        <f>AM8+(AQ8*AP8)</f>
        <v>0.50850548487349367</v>
      </c>
      <c r="AT8" s="168">
        <f>EXP(AR8)</f>
        <v>0.96202359413509275</v>
      </c>
      <c r="AU8" s="168">
        <f>EXP(AS8)</f>
        <v>1.662804250915636</v>
      </c>
      <c r="AV8" s="127"/>
      <c r="AX8" s="169"/>
      <c r="AY8" s="169">
        <v>1</v>
      </c>
      <c r="AZ8" s="170"/>
      <c r="BA8" s="170"/>
      <c r="BC8" s="144"/>
      <c r="BD8" s="144"/>
      <c r="BE8" s="159"/>
      <c r="BF8" s="159"/>
      <c r="BG8" s="159"/>
      <c r="BH8" s="159"/>
      <c r="BI8" s="159"/>
      <c r="BJ8" s="159"/>
      <c r="BK8" s="159"/>
      <c r="BL8" s="159"/>
      <c r="BM8" s="144"/>
      <c r="BN8" s="144"/>
      <c r="BO8" s="144"/>
      <c r="BP8" s="144"/>
      <c r="BQ8" s="144"/>
      <c r="BR8" s="144"/>
      <c r="BS8" s="171"/>
      <c r="BT8" s="171"/>
      <c r="BU8" s="171"/>
      <c r="BV8" s="144"/>
      <c r="BW8" s="144"/>
    </row>
    <row r="9" spans="1:256">
      <c r="A9" s="116"/>
      <c r="B9" s="106" t="s">
        <v>4</v>
      </c>
      <c r="C9" s="74">
        <v>498</v>
      </c>
      <c r="D9" s="75">
        <f t="shared" ref="D9:D11" si="0">E9-C9</f>
        <v>5073</v>
      </c>
      <c r="E9" s="76">
        <v>5571</v>
      </c>
      <c r="F9" s="74">
        <v>533</v>
      </c>
      <c r="G9" s="75">
        <f t="shared" ref="G9:G12" si="1">H9-F9</f>
        <v>5036</v>
      </c>
      <c r="H9" s="76">
        <v>5569</v>
      </c>
      <c r="I9" s="146"/>
      <c r="K9" s="147">
        <f t="shared" ref="K9:K12" si="2">(C9/E9)/(F9/H9)</f>
        <v>0.93399853098816799</v>
      </c>
      <c r="L9" s="148">
        <f t="shared" ref="L9:L12" si="3">(D9/(C9*E9)+(G9/(F9*H9)))</f>
        <v>3.5251382975314402E-3</v>
      </c>
      <c r="M9" s="149">
        <f t="shared" ref="M9:M12" si="4">1/L9</f>
        <v>283.6768136728914</v>
      </c>
      <c r="N9" s="150">
        <f t="shared" ref="N9:N12" si="5">LN(K9)</f>
        <v>-6.8280413572338605E-2</v>
      </c>
      <c r="O9" s="150">
        <f t="shared" ref="O9:O12" si="6">M9*N9</f>
        <v>-19.369570158468264</v>
      </c>
      <c r="P9" s="150">
        <f t="shared" ref="P9:P12" si="7">LN(K9)</f>
        <v>-6.8280413572338605E-2</v>
      </c>
      <c r="Q9" s="381">
        <f t="shared" ref="Q9:Q12" si="8">K9</f>
        <v>0.93399853098816799</v>
      </c>
      <c r="R9" s="151">
        <f t="shared" ref="R9:R12" si="9">SQRT(1/M9)</f>
        <v>5.9372875099084094E-2</v>
      </c>
      <c r="S9" s="152">
        <f t="shared" ref="S9:S12" si="10">-NORMSINV(2.5/100)</f>
        <v>1.9599639845400538</v>
      </c>
      <c r="T9" s="153">
        <f t="shared" ref="T9:T12" si="11">P9-(R9*S9)</f>
        <v>-0.1846491104251384</v>
      </c>
      <c r="U9" s="153">
        <f t="shared" ref="U9:U12" si="12">P9+(R9*S9)</f>
        <v>4.8088283280461191E-2</v>
      </c>
      <c r="V9" s="154">
        <f t="shared" ref="V9:W12" si="13">EXP(T9)</f>
        <v>0.83139596085116863</v>
      </c>
      <c r="W9" s="155">
        <f t="shared" si="13"/>
        <v>1.0492632836403919</v>
      </c>
      <c r="X9" s="156"/>
      <c r="Z9" s="157">
        <f>(N9-P13)^2</f>
        <v>2.2788153830617815E-3</v>
      </c>
      <c r="AA9" s="158">
        <f t="shared" ref="AA9:AA12" si="14">M9*Z9</f>
        <v>0.64644708681573559</v>
      </c>
      <c r="AB9" s="159">
        <v>1</v>
      </c>
      <c r="AC9" s="144"/>
      <c r="AD9" s="144"/>
      <c r="AE9" s="149">
        <f t="shared" ref="AE9:AE12" si="15">M9^2</f>
        <v>80472.534615604338</v>
      </c>
      <c r="AF9" s="160"/>
      <c r="AG9" s="161">
        <f>AG13</f>
        <v>1.1061195777311534E-2</v>
      </c>
      <c r="AH9" s="161">
        <f>AH13</f>
        <v>1.1061195777311534E-2</v>
      </c>
      <c r="AI9" s="158">
        <f t="shared" ref="AI9:AI12" si="16">1/M9</f>
        <v>3.5251382975314402E-3</v>
      </c>
      <c r="AJ9" s="162">
        <f t="shared" ref="AJ9:AJ12" si="17">1/(AH9+AI9)</f>
        <v>68.557321865039299</v>
      </c>
      <c r="AK9" s="163">
        <f>AJ9/AJ13</f>
        <v>0.25837658430908528</v>
      </c>
      <c r="AL9" s="164">
        <f t="shared" ref="AL9:AL12" si="18">AJ9*N9</f>
        <v>-4.6811222903568153</v>
      </c>
      <c r="AM9" s="165">
        <f t="shared" ref="AM9:AM12" si="19">AL9/AJ9</f>
        <v>-6.8280413572338605E-2</v>
      </c>
      <c r="AN9" s="155">
        <f t="shared" ref="AN9:AN12" si="20">EXP(AM9)</f>
        <v>0.93399853098816799</v>
      </c>
      <c r="AO9" s="166">
        <f t="shared" ref="AO9:AO12" si="21">1/AJ9</f>
        <v>1.4586334074842973E-2</v>
      </c>
      <c r="AP9" s="155">
        <f t="shared" ref="AP9:AP12" si="22">SQRT(AO9)</f>
        <v>0.12077389649606811</v>
      </c>
      <c r="AQ9" s="167">
        <f t="shared" ref="AQ9:AQ12" si="23">-NORMSINV(2.5/100)</f>
        <v>1.9599639845400538</v>
      </c>
      <c r="AR9" s="153">
        <f t="shared" ref="AR9:AR12" si="24">AM9-(AQ9*AP9)</f>
        <v>-0.30499290097720033</v>
      </c>
      <c r="AS9" s="153">
        <f t="shared" ref="AS9:AS13" si="25">AM9+(AQ9*AP9)</f>
        <v>0.16843207383252309</v>
      </c>
      <c r="AT9" s="168">
        <f t="shared" ref="AT9:AU12" si="26">EXP(AR9)</f>
        <v>0.73712860726584284</v>
      </c>
      <c r="AU9" s="168">
        <f t="shared" si="26"/>
        <v>1.183447837038625</v>
      </c>
      <c r="AV9" s="127"/>
      <c r="AX9" s="169"/>
      <c r="AY9" s="169">
        <v>1</v>
      </c>
      <c r="AZ9" s="170"/>
      <c r="BA9" s="170"/>
      <c r="BC9" s="144"/>
      <c r="BD9" s="144"/>
      <c r="BE9" s="159"/>
      <c r="BF9" s="159"/>
      <c r="BG9" s="159"/>
      <c r="BH9" s="159"/>
      <c r="BI9" s="159"/>
      <c r="BJ9" s="159"/>
      <c r="BK9" s="159"/>
      <c r="BL9" s="159"/>
      <c r="BM9" s="144"/>
      <c r="BN9" s="144"/>
      <c r="BO9" s="144"/>
      <c r="BP9" s="144"/>
      <c r="BQ9" s="144"/>
      <c r="BR9" s="144"/>
      <c r="BS9" s="171"/>
      <c r="BT9" s="171"/>
      <c r="BU9" s="171"/>
      <c r="BV9" s="144"/>
      <c r="BW9" s="144"/>
    </row>
    <row r="10" spans="1:256">
      <c r="A10" s="116"/>
      <c r="B10" s="106" t="s">
        <v>259</v>
      </c>
      <c r="C10" s="74">
        <v>177</v>
      </c>
      <c r="D10" s="75">
        <f t="shared" si="0"/>
        <v>2428</v>
      </c>
      <c r="E10" s="76">
        <v>2605</v>
      </c>
      <c r="F10" s="74">
        <v>186</v>
      </c>
      <c r="G10" s="75">
        <f t="shared" si="1"/>
        <v>2447</v>
      </c>
      <c r="H10" s="76">
        <v>2633</v>
      </c>
      <c r="I10" s="146"/>
      <c r="K10" s="147">
        <f t="shared" si="2"/>
        <v>0.96184137205126619</v>
      </c>
      <c r="L10" s="148">
        <f t="shared" si="3"/>
        <v>1.0262389530088581E-2</v>
      </c>
      <c r="M10" s="149">
        <f t="shared" si="4"/>
        <v>97.44319264709965</v>
      </c>
      <c r="N10" s="150">
        <f t="shared" si="5"/>
        <v>-3.8905735830529982E-2</v>
      </c>
      <c r="O10" s="150">
        <f t="shared" si="6"/>
        <v>-3.7910991116115005</v>
      </c>
      <c r="P10" s="150">
        <f t="shared" si="7"/>
        <v>-3.8905735830529982E-2</v>
      </c>
      <c r="Q10" s="381">
        <f t="shared" si="8"/>
        <v>0.96184137205126619</v>
      </c>
      <c r="R10" s="151">
        <f t="shared" si="9"/>
        <v>0.1013034527056634</v>
      </c>
      <c r="S10" s="152">
        <f t="shared" si="10"/>
        <v>1.9599639845400538</v>
      </c>
      <c r="T10" s="153">
        <f t="shared" si="11"/>
        <v>-0.23745685464318692</v>
      </c>
      <c r="U10" s="153">
        <f t="shared" si="12"/>
        <v>0.15964538298212697</v>
      </c>
      <c r="V10" s="154">
        <f t="shared" si="13"/>
        <v>0.78863091600932544</v>
      </c>
      <c r="W10" s="155">
        <f t="shared" si="13"/>
        <v>1.1730947978439672</v>
      </c>
      <c r="X10" s="156"/>
      <c r="Z10" s="157">
        <f>(N10-P13)^2</f>
        <v>3.3717265312022604E-4</v>
      </c>
      <c r="AA10" s="158">
        <f t="shared" si="14"/>
        <v>3.2855179793327888E-2</v>
      </c>
      <c r="AB10" s="159">
        <v>1</v>
      </c>
      <c r="AC10" s="144"/>
      <c r="AD10" s="144"/>
      <c r="AE10" s="149">
        <f t="shared" si="15"/>
        <v>9495.1757932597757</v>
      </c>
      <c r="AF10" s="160"/>
      <c r="AG10" s="161">
        <f>AG13</f>
        <v>1.1061195777311534E-2</v>
      </c>
      <c r="AH10" s="161">
        <f>AH13</f>
        <v>1.1061195777311534E-2</v>
      </c>
      <c r="AI10" s="158">
        <f t="shared" si="16"/>
        <v>1.0262389530088581E-2</v>
      </c>
      <c r="AJ10" s="162">
        <f t="shared" si="17"/>
        <v>46.896428793940252</v>
      </c>
      <c r="AK10" s="163">
        <f>AJ10/AJ13</f>
        <v>0.17674172150314893</v>
      </c>
      <c r="AL10" s="164">
        <f t="shared" si="18"/>
        <v>-1.8245400700522991</v>
      </c>
      <c r="AM10" s="165">
        <f t="shared" si="19"/>
        <v>-3.8905735830529982E-2</v>
      </c>
      <c r="AN10" s="155">
        <f t="shared" si="20"/>
        <v>0.96184137205126619</v>
      </c>
      <c r="AO10" s="166">
        <f t="shared" si="21"/>
        <v>2.1323585307400115E-2</v>
      </c>
      <c r="AP10" s="155">
        <f t="shared" si="22"/>
        <v>0.14602597476955981</v>
      </c>
      <c r="AQ10" s="167">
        <f t="shared" si="23"/>
        <v>1.9599639845400538</v>
      </c>
      <c r="AR10" s="153">
        <f t="shared" si="24"/>
        <v>-0.32511138718622179</v>
      </c>
      <c r="AS10" s="153">
        <f t="shared" si="25"/>
        <v>0.24729991552516184</v>
      </c>
      <c r="AT10" s="168">
        <f t="shared" si="26"/>
        <v>0.72244687783525174</v>
      </c>
      <c r="AU10" s="168">
        <f t="shared" si="26"/>
        <v>1.2805631159505582</v>
      </c>
      <c r="AV10" s="127"/>
      <c r="AX10" s="169"/>
      <c r="AY10" s="169">
        <v>1</v>
      </c>
      <c r="AZ10" s="170"/>
      <c r="BA10" s="170"/>
      <c r="BC10" s="144"/>
      <c r="BD10" s="144"/>
      <c r="BE10" s="159"/>
      <c r="BF10" s="159"/>
      <c r="BG10" s="159"/>
      <c r="BH10" s="159"/>
      <c r="BI10" s="159"/>
      <c r="BJ10" s="159"/>
      <c r="BK10" s="159"/>
      <c r="BL10" s="159"/>
      <c r="BM10" s="144"/>
      <c r="BN10" s="144"/>
      <c r="BO10" s="144"/>
      <c r="BP10" s="144"/>
      <c r="BQ10" s="144"/>
      <c r="BR10" s="144"/>
      <c r="BS10" s="171"/>
      <c r="BT10" s="171"/>
      <c r="BU10" s="171"/>
      <c r="BV10" s="144"/>
      <c r="BW10" s="144"/>
    </row>
    <row r="11" spans="1:256">
      <c r="A11" s="116"/>
      <c r="B11" s="107" t="s">
        <v>5</v>
      </c>
      <c r="C11" s="74">
        <v>539</v>
      </c>
      <c r="D11" s="75">
        <f t="shared" si="0"/>
        <v>2532</v>
      </c>
      <c r="E11" s="76">
        <v>3071</v>
      </c>
      <c r="F11" s="74">
        <v>302</v>
      </c>
      <c r="G11" s="75">
        <f t="shared" si="1"/>
        <v>1247</v>
      </c>
      <c r="H11" s="76">
        <v>1549</v>
      </c>
      <c r="I11" s="146"/>
      <c r="K11" s="147">
        <f t="shared" si="2"/>
        <v>0.90022987960433098</v>
      </c>
      <c r="L11" s="148">
        <f t="shared" si="3"/>
        <v>4.1953412239441002E-3</v>
      </c>
      <c r="M11" s="149">
        <f t="shared" si="4"/>
        <v>238.35963432311371</v>
      </c>
      <c r="N11" s="150">
        <f t="shared" si="5"/>
        <v>-0.1051051264898263</v>
      </c>
      <c r="O11" s="150">
        <f t="shared" si="6"/>
        <v>-25.052819515599609</v>
      </c>
      <c r="P11" s="150">
        <f t="shared" si="7"/>
        <v>-0.1051051264898263</v>
      </c>
      <c r="Q11" s="381">
        <f t="shared" si="8"/>
        <v>0.90022987960433098</v>
      </c>
      <c r="R11" s="151">
        <f t="shared" si="9"/>
        <v>6.4771453773588408E-2</v>
      </c>
      <c r="S11" s="152">
        <f t="shared" si="10"/>
        <v>1.9599639845400538</v>
      </c>
      <c r="T11" s="153">
        <f t="shared" si="11"/>
        <v>-0.23205484311236052</v>
      </c>
      <c r="U11" s="153">
        <f t="shared" si="12"/>
        <v>2.1844590132707939E-2</v>
      </c>
      <c r="V11" s="154">
        <f t="shared" si="13"/>
        <v>0.79290263686582407</v>
      </c>
      <c r="W11" s="155">
        <f t="shared" si="13"/>
        <v>1.0220849300436459</v>
      </c>
      <c r="X11" s="156"/>
      <c r="Z11" s="157">
        <f>(N11-P13)^2</f>
        <v>7.1506730422784062E-3</v>
      </c>
      <c r="AA11" s="158">
        <f t="shared" si="14"/>
        <v>1.7044318115216279</v>
      </c>
      <c r="AB11" s="159">
        <v>1</v>
      </c>
      <c r="AC11" s="144"/>
      <c r="AD11" s="144"/>
      <c r="AE11" s="149">
        <f t="shared" si="15"/>
        <v>56815.315274648485</v>
      </c>
      <c r="AF11" s="160"/>
      <c r="AG11" s="161">
        <f>AG13</f>
        <v>1.1061195777311534E-2</v>
      </c>
      <c r="AH11" s="161">
        <f>AH13</f>
        <v>1.1061195777311534E-2</v>
      </c>
      <c r="AI11" s="158">
        <f t="shared" si="16"/>
        <v>4.1953412239441002E-3</v>
      </c>
      <c r="AJ11" s="162">
        <f t="shared" si="17"/>
        <v>65.545673957182984</v>
      </c>
      <c r="AK11" s="163">
        <f>AJ11/AJ13</f>
        <v>0.24702638452874165</v>
      </c>
      <c r="AL11" s="164">
        <f t="shared" si="18"/>
        <v>-6.8891863521306309</v>
      </c>
      <c r="AM11" s="165">
        <f t="shared" si="19"/>
        <v>-0.1051051264898263</v>
      </c>
      <c r="AN11" s="155">
        <f t="shared" si="20"/>
        <v>0.90022987960433098</v>
      </c>
      <c r="AO11" s="166">
        <f t="shared" si="21"/>
        <v>1.5256537001255633E-2</v>
      </c>
      <c r="AP11" s="155">
        <f t="shared" si="22"/>
        <v>0.12351735506096151</v>
      </c>
      <c r="AQ11" s="167">
        <f t="shared" si="23"/>
        <v>1.9599639845400538</v>
      </c>
      <c r="AR11" s="153">
        <f t="shared" si="24"/>
        <v>-0.34719469387495699</v>
      </c>
      <c r="AS11" s="153">
        <f t="shared" si="25"/>
        <v>0.13698444089530443</v>
      </c>
      <c r="AT11" s="168">
        <f t="shared" si="26"/>
        <v>0.70666773098465852</v>
      </c>
      <c r="AU11" s="168">
        <f t="shared" si="26"/>
        <v>1.1468103050399823</v>
      </c>
      <c r="AV11" s="127"/>
      <c r="AX11" s="169"/>
      <c r="AY11" s="169">
        <v>1</v>
      </c>
      <c r="AZ11" s="170"/>
      <c r="BA11" s="170"/>
      <c r="BC11" s="144"/>
      <c r="BD11" s="144"/>
      <c r="BE11" s="159"/>
      <c r="BF11" s="159"/>
      <c r="BG11" s="159"/>
      <c r="BH11" s="159"/>
      <c r="BI11" s="159"/>
      <c r="BJ11" s="159"/>
      <c r="BK11" s="159"/>
      <c r="BL11" s="159"/>
      <c r="BM11" s="144"/>
      <c r="BN11" s="144"/>
      <c r="BO11" s="144"/>
      <c r="BP11" s="144"/>
      <c r="BQ11" s="144"/>
      <c r="BR11" s="144"/>
      <c r="BS11" s="171"/>
      <c r="BT11" s="171"/>
      <c r="BU11" s="171"/>
      <c r="BV11" s="144"/>
      <c r="BW11" s="144"/>
    </row>
    <row r="12" spans="1:256">
      <c r="A12" s="116"/>
      <c r="B12" s="107" t="s">
        <v>6</v>
      </c>
      <c r="C12" s="74">
        <v>102</v>
      </c>
      <c r="D12" s="75">
        <v>892</v>
      </c>
      <c r="E12" s="76">
        <v>892</v>
      </c>
      <c r="F12" s="74">
        <v>95</v>
      </c>
      <c r="G12" s="75">
        <f t="shared" si="1"/>
        <v>804</v>
      </c>
      <c r="H12" s="76">
        <v>899</v>
      </c>
      <c r="I12" s="146"/>
      <c r="K12" s="147">
        <f t="shared" si="2"/>
        <v>1.0821099834788765</v>
      </c>
      <c r="L12" s="148">
        <f t="shared" si="3"/>
        <v>1.9217890305820821E-2</v>
      </c>
      <c r="M12" s="149">
        <f t="shared" si="4"/>
        <v>52.034847950875985</v>
      </c>
      <c r="N12" s="150">
        <f t="shared" si="5"/>
        <v>7.8912823575341129E-2</v>
      </c>
      <c r="O12" s="150">
        <f t="shared" si="6"/>
        <v>4.1062167761171775</v>
      </c>
      <c r="P12" s="150">
        <f t="shared" si="7"/>
        <v>7.8912823575341129E-2</v>
      </c>
      <c r="Q12" s="381">
        <f t="shared" si="8"/>
        <v>1.0821099834788765</v>
      </c>
      <c r="R12" s="151">
        <f t="shared" si="9"/>
        <v>0.13862860565489657</v>
      </c>
      <c r="S12" s="152">
        <f t="shared" si="10"/>
        <v>1.9599639845400538</v>
      </c>
      <c r="T12" s="153">
        <f t="shared" si="11"/>
        <v>-0.1927942507352618</v>
      </c>
      <c r="U12" s="153">
        <f t="shared" si="12"/>
        <v>0.35061989788594405</v>
      </c>
      <c r="V12" s="154">
        <f t="shared" si="13"/>
        <v>0.82465162815157289</v>
      </c>
      <c r="W12" s="155">
        <f t="shared" si="13"/>
        <v>1.4199474982779383</v>
      </c>
      <c r="X12" s="156"/>
      <c r="Z12" s="157">
        <f>(N12-P84)^2</f>
        <v>6.2272337246329149E-3</v>
      </c>
      <c r="AA12" s="158">
        <f t="shared" si="14"/>
        <v>0.32403316001584087</v>
      </c>
      <c r="AB12" s="159">
        <v>1</v>
      </c>
      <c r="AC12" s="144"/>
      <c r="AD12" s="144"/>
      <c r="AE12" s="149">
        <f t="shared" si="15"/>
        <v>2707.6254012707827</v>
      </c>
      <c r="AF12" s="160"/>
      <c r="AG12" s="161">
        <f>AG13</f>
        <v>1.1061195777311534E-2</v>
      </c>
      <c r="AH12" s="161">
        <f>AH13</f>
        <v>1.1061195777311534E-2</v>
      </c>
      <c r="AI12" s="158">
        <f t="shared" si="16"/>
        <v>1.9217890305820821E-2</v>
      </c>
      <c r="AJ12" s="162">
        <f t="shared" si="17"/>
        <v>33.026095875366345</v>
      </c>
      <c r="AK12" s="163">
        <f>AJ12/AJ13</f>
        <v>0.12446766608152765</v>
      </c>
      <c r="AL12" s="164">
        <f t="shared" si="18"/>
        <v>2.6061824771950857</v>
      </c>
      <c r="AM12" s="165">
        <f t="shared" si="19"/>
        <v>7.8912823575341129E-2</v>
      </c>
      <c r="AN12" s="155">
        <f t="shared" si="20"/>
        <v>1.0821099834788765</v>
      </c>
      <c r="AO12" s="166">
        <f t="shared" si="21"/>
        <v>3.0279086083132355E-2</v>
      </c>
      <c r="AP12" s="155">
        <f t="shared" si="22"/>
        <v>0.17400886782900565</v>
      </c>
      <c r="AQ12" s="167">
        <f t="shared" si="23"/>
        <v>1.9599639845400538</v>
      </c>
      <c r="AR12" s="153">
        <f t="shared" si="24"/>
        <v>-0.26213829036010039</v>
      </c>
      <c r="AS12" s="153">
        <f t="shared" si="25"/>
        <v>0.41996393751078265</v>
      </c>
      <c r="AT12" s="168">
        <f t="shared" si="26"/>
        <v>0.76940461510881741</v>
      </c>
      <c r="AU12" s="168">
        <f t="shared" si="26"/>
        <v>1.5219066708860911</v>
      </c>
      <c r="AV12" s="127"/>
      <c r="AX12" s="169"/>
      <c r="AY12" s="169">
        <v>1</v>
      </c>
      <c r="AZ12" s="170"/>
      <c r="BA12" s="170"/>
      <c r="BC12" s="144"/>
      <c r="BD12" s="144"/>
      <c r="BE12" s="159"/>
      <c r="BF12" s="159"/>
      <c r="BG12" s="159"/>
      <c r="BH12" s="159"/>
      <c r="BI12" s="159"/>
      <c r="BJ12" s="159"/>
      <c r="BK12" s="159"/>
      <c r="BL12" s="159"/>
      <c r="BM12" s="144"/>
      <c r="BN12" s="144"/>
      <c r="BO12" s="144"/>
      <c r="BP12" s="144"/>
      <c r="BQ12" s="144"/>
      <c r="BR12" s="144"/>
      <c r="BS12" s="171"/>
      <c r="BT12" s="171"/>
      <c r="BU12" s="171"/>
      <c r="BV12" s="144"/>
      <c r="BW12" s="144"/>
    </row>
    <row r="13" spans="1:256">
      <c r="A13" s="116"/>
      <c r="B13" s="77">
        <f>COUNT(C8:C12)</f>
        <v>5</v>
      </c>
      <c r="C13" s="359">
        <f>SUM(C8:C12)</f>
        <v>1573</v>
      </c>
      <c r="D13" s="359">
        <f>SUM(D8:D12)</f>
        <v>15796</v>
      </c>
      <c r="E13" s="359">
        <f>SUM(E8:E12)</f>
        <v>17267</v>
      </c>
      <c r="F13" s="359">
        <f>SUM(F8:F12)</f>
        <v>1319</v>
      </c>
      <c r="G13" s="359">
        <f>SUM(G8:G12)</f>
        <v>14454</v>
      </c>
      <c r="H13" s="359">
        <f>SUM(H8:H12)</f>
        <v>15773</v>
      </c>
      <c r="I13" s="82"/>
      <c r="K13" s="172"/>
      <c r="L13" s="173"/>
      <c r="M13" s="174">
        <f>SUM(M8:M12)</f>
        <v>790.18134199239785</v>
      </c>
      <c r="N13" s="175"/>
      <c r="O13" s="176">
        <f>SUM(O8:O12)</f>
        <v>-16.233069992484729</v>
      </c>
      <c r="P13" s="177">
        <f>O13/M13</f>
        <v>-2.0543474174616622E-2</v>
      </c>
      <c r="Q13" s="178">
        <f>EXP(P13)</f>
        <v>0.97966610537338705</v>
      </c>
      <c r="R13" s="78">
        <f>SQRT(1/M13)</f>
        <v>3.5574320596336445E-2</v>
      </c>
      <c r="S13" s="152">
        <f>-NORMSINV(2.5/100)</f>
        <v>1.9599639845400538</v>
      </c>
      <c r="T13" s="179">
        <f>P13-(R13*S13)</f>
        <v>-9.0267861317917503E-2</v>
      </c>
      <c r="U13" s="179">
        <f>P13+(R13*S13)</f>
        <v>4.9180912968684265E-2</v>
      </c>
      <c r="V13" s="180">
        <f>EXP(T13)</f>
        <v>0.9136864112436659</v>
      </c>
      <c r="W13" s="181">
        <f>EXP(U13)</f>
        <v>1.0504103664090843</v>
      </c>
      <c r="X13" s="182"/>
      <c r="Y13" s="182"/>
      <c r="Z13" s="183"/>
      <c r="AA13" s="184">
        <f>SUM(AA8:AA12)</f>
        <v>10.450613910411747</v>
      </c>
      <c r="AB13" s="185">
        <f>SUM(AB8:AB12)</f>
        <v>5</v>
      </c>
      <c r="AC13" s="186">
        <f>AA13-(AB13-1)</f>
        <v>6.4506139104117466</v>
      </c>
      <c r="AD13" s="174">
        <f>M13</f>
        <v>790.18134199239785</v>
      </c>
      <c r="AE13" s="174">
        <f>SUM(AE8:AE12)</f>
        <v>163572.47318026479</v>
      </c>
      <c r="AF13" s="187">
        <f>AE13/AD13</f>
        <v>207.00624589265294</v>
      </c>
      <c r="AG13" s="188">
        <f>AC13/(AD13-AF13)</f>
        <v>1.1061195777311534E-2</v>
      </c>
      <c r="AH13" s="188">
        <f>IF(AA13&lt;AB13-1,"0",AG13)</f>
        <v>1.1061195777311534E-2</v>
      </c>
      <c r="AI13" s="183"/>
      <c r="AJ13" s="174">
        <f>SUM(AJ8:AJ12)</f>
        <v>265.33875756723756</v>
      </c>
      <c r="AK13" s="189">
        <f>SUM(AK8:AK12)</f>
        <v>1</v>
      </c>
      <c r="AL13" s="186">
        <f>SUM(AL8:AL12)</f>
        <v>1.264535610298716</v>
      </c>
      <c r="AM13" s="186">
        <f>AL13/AJ13</f>
        <v>4.7657403007861721E-3</v>
      </c>
      <c r="AN13" s="422">
        <f>EXP(AM13)</f>
        <v>1.0047771145027462</v>
      </c>
      <c r="AO13" s="191">
        <f>1/AJ13</f>
        <v>3.7687671758491492E-3</v>
      </c>
      <c r="AP13" s="192">
        <f>SQRT(AO13)</f>
        <v>6.1390285679813784E-2</v>
      </c>
      <c r="AQ13" s="193">
        <f>-NORMSINV(2.5/100)</f>
        <v>1.9599639845400538</v>
      </c>
      <c r="AR13" s="179">
        <f>AM13-(AQ13*AP13)</f>
        <v>-0.11555700863227385</v>
      </c>
      <c r="AS13" s="179">
        <f t="shared" si="25"/>
        <v>0.12508848923384619</v>
      </c>
      <c r="AT13" s="423">
        <f>EXP(AR13)</f>
        <v>0.89086978352150159</v>
      </c>
      <c r="AU13" s="424">
        <f>EXP(AS13)</f>
        <v>1.1332487289418745</v>
      </c>
      <c r="AV13" s="196"/>
      <c r="AW13" s="20"/>
      <c r="AX13" s="197">
        <f>AA13</f>
        <v>10.450613910411747</v>
      </c>
      <c r="AY13" s="77">
        <f>SUM(AY8:AY12)</f>
        <v>5</v>
      </c>
      <c r="AZ13" s="198">
        <f>(AX13-(AY13-1))/AX13</f>
        <v>0.61724736610785358</v>
      </c>
      <c r="BA13" s="199">
        <f>IF(AA13&lt;AB13-1,"0%",AZ13)</f>
        <v>0.61724736610785358</v>
      </c>
      <c r="BB13" s="200"/>
      <c r="BC13" s="176">
        <f>AX13/(AY13-1)</f>
        <v>2.6126534776029366</v>
      </c>
      <c r="BD13" s="201">
        <f>LN(BC13)</f>
        <v>0.96036636297319067</v>
      </c>
      <c r="BE13" s="176">
        <f>LN(AX13)</f>
        <v>2.3466607240930815</v>
      </c>
      <c r="BF13" s="176">
        <f>LN(AY13-1)</f>
        <v>1.3862943611198906</v>
      </c>
      <c r="BG13" s="176">
        <f>SQRT(2*AX13)</f>
        <v>4.5717860646385775</v>
      </c>
      <c r="BH13" s="176">
        <f>SQRT(2*AY13-3)</f>
        <v>2.6457513110645907</v>
      </c>
      <c r="BI13" s="176">
        <f>2*(AY13-2)</f>
        <v>6</v>
      </c>
      <c r="BJ13" s="176">
        <f>3*(AY13-2)^2</f>
        <v>27</v>
      </c>
      <c r="BK13" s="176">
        <f>1/BI13</f>
        <v>0.16666666666666666</v>
      </c>
      <c r="BL13" s="202">
        <f>1/BJ13</f>
        <v>3.7037037037037035E-2</v>
      </c>
      <c r="BM13" s="202">
        <f>SQRT(BK13*(1-BL13))</f>
        <v>0.40061680838488767</v>
      </c>
      <c r="BN13" s="203">
        <f>0.5*(BE13-BF13)/(BG13-BH13)</f>
        <v>0.24931179491728195</v>
      </c>
      <c r="BO13" s="203">
        <f>IF(AA13&lt;=AB13,BM13,BN13)</f>
        <v>0.24931179491728195</v>
      </c>
      <c r="BP13" s="204">
        <f>BD13-(1.96*BO13)</f>
        <v>0.47171524493531808</v>
      </c>
      <c r="BQ13" s="204">
        <f>BD13+(1.96*BO13)</f>
        <v>1.4490174810110632</v>
      </c>
      <c r="BR13" s="204"/>
      <c r="BS13" s="201">
        <f>EXP(BP13)</f>
        <v>1.6027409301436921</v>
      </c>
      <c r="BT13" s="201">
        <f>EXP(BQ13)</f>
        <v>4.258927981216992</v>
      </c>
      <c r="BU13" s="205">
        <f>BA13</f>
        <v>0.61724736610785358</v>
      </c>
      <c r="BV13" s="205">
        <f>(BS13-1)/BS13</f>
        <v>0.37606884481926472</v>
      </c>
      <c r="BW13" s="205">
        <f>(BT13-1)/BT13</f>
        <v>0.76519912888636143</v>
      </c>
    </row>
    <row r="14" spans="1:256" ht="13.5" thickBot="1">
      <c r="A14" s="122"/>
      <c r="B14" s="122"/>
      <c r="C14" s="382"/>
      <c r="D14" s="382"/>
      <c r="E14" s="382"/>
      <c r="F14" s="382"/>
      <c r="G14" s="382"/>
      <c r="H14" s="382"/>
      <c r="I14" s="80"/>
      <c r="J14" s="122"/>
      <c r="K14" s="122"/>
      <c r="L14" s="10"/>
      <c r="M14" s="10"/>
      <c r="N14" s="10"/>
      <c r="O14" s="10"/>
      <c r="P14" s="10"/>
      <c r="Q14" s="10"/>
      <c r="R14" s="206"/>
      <c r="S14" s="206"/>
      <c r="T14" s="206"/>
      <c r="U14" s="206"/>
      <c r="V14" s="206"/>
      <c r="W14" s="206"/>
      <c r="X14" s="206"/>
      <c r="Z14" s="10"/>
      <c r="AA14" s="10"/>
      <c r="AB14" s="207"/>
      <c r="AC14" s="208"/>
      <c r="AD14" s="209"/>
      <c r="AE14" s="208"/>
      <c r="AF14" s="210"/>
      <c r="AG14" s="210"/>
      <c r="AH14" s="210"/>
      <c r="AI14" s="2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211"/>
      <c r="AU14" s="211"/>
      <c r="AV14" s="2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212"/>
      <c r="BH14" s="10"/>
      <c r="BI14" s="10"/>
      <c r="BJ14" s="10"/>
      <c r="BK14" s="10"/>
      <c r="BN14" s="208" t="s">
        <v>203</v>
      </c>
      <c r="BT14" s="213" t="s">
        <v>204</v>
      </c>
      <c r="BU14" s="214">
        <f>BU13</f>
        <v>0.61724736610785358</v>
      </c>
      <c r="BV14" s="215">
        <f>IF(BV13&lt;0,"0%",BV13)</f>
        <v>0.37606884481926472</v>
      </c>
      <c r="BW14" s="216">
        <f>IF(BW13&lt;0,"0%",BW13)</f>
        <v>0.76519912888636143</v>
      </c>
    </row>
    <row r="15" spans="1:256" ht="15.75" thickBot="1">
      <c r="A15" s="116"/>
      <c r="B15" s="116"/>
      <c r="C15" s="383"/>
      <c r="D15" s="383"/>
      <c r="E15" s="383"/>
      <c r="F15" s="383"/>
      <c r="G15" s="383"/>
      <c r="H15" s="383"/>
      <c r="I15" s="217"/>
      <c r="J15" s="116"/>
      <c r="K15" s="116"/>
      <c r="L15" s="116"/>
      <c r="M15" s="10"/>
      <c r="N15" s="10"/>
      <c r="O15" s="10"/>
      <c r="P15" s="10"/>
      <c r="Q15" s="10"/>
      <c r="R15" s="218"/>
      <c r="S15" s="218"/>
      <c r="T15" s="218"/>
      <c r="U15" s="218"/>
      <c r="V15" s="218"/>
      <c r="W15" s="218"/>
      <c r="X15" s="218"/>
      <c r="Z15" s="10"/>
      <c r="AA15" s="10"/>
      <c r="AB15" s="10"/>
      <c r="AC15" s="10"/>
      <c r="AD15" s="10"/>
      <c r="AE15" s="10"/>
      <c r="AF15" s="10"/>
      <c r="AG15" s="10"/>
      <c r="AH15" s="10"/>
      <c r="AI15" s="212"/>
      <c r="AJ15" s="26"/>
      <c r="AK15" s="26"/>
      <c r="AL15" s="219"/>
      <c r="AM15" s="220"/>
      <c r="AN15" s="221"/>
      <c r="AO15" s="222" t="s">
        <v>295</v>
      </c>
      <c r="AP15" s="223">
        <f>TINV(0.05,(AB13-2))</f>
        <v>3.1824463052837091</v>
      </c>
      <c r="AQ15" s="10"/>
      <c r="AR15" s="224"/>
      <c r="AS15" s="225" t="s">
        <v>205</v>
      </c>
      <c r="AT15" s="226">
        <f>EXP(AM13-AP15*SQRT((1/AD13)+AH13))</f>
        <v>0.70569799382217224</v>
      </c>
      <c r="AU15" s="227">
        <f>EXP(AM13+AP15*SQRT((1/AD13)+AH13))</f>
        <v>1.4306077935129662</v>
      </c>
      <c r="AV15" s="127"/>
      <c r="AW15" s="10"/>
      <c r="AX15" s="10"/>
      <c r="AY15" s="10"/>
      <c r="AZ15" s="10"/>
      <c r="BB15" s="10"/>
      <c r="BC15" s="10"/>
      <c r="BD15" s="10"/>
      <c r="BF15" s="228"/>
      <c r="BG15" s="212"/>
      <c r="BH15" s="212"/>
      <c r="BJ15" s="156"/>
      <c r="BK15" s="10"/>
      <c r="BL15" s="229"/>
      <c r="BM15" s="230"/>
      <c r="BN15" s="10"/>
      <c r="BQ15" s="229"/>
    </row>
    <row r="16" spans="1:256" ht="15">
      <c r="A16" s="231"/>
      <c r="B16" s="231"/>
      <c r="C16" s="384"/>
      <c r="D16" s="384"/>
      <c r="E16" s="384"/>
      <c r="F16" s="384"/>
      <c r="G16" s="384"/>
      <c r="H16" s="384"/>
      <c r="I16" s="217"/>
      <c r="J16" s="231"/>
      <c r="K16" s="231"/>
      <c r="L16" s="231"/>
      <c r="M16" s="10"/>
      <c r="N16" s="10"/>
      <c r="O16" s="10"/>
      <c r="P16" s="10"/>
      <c r="Q16" s="10"/>
      <c r="R16" s="218"/>
      <c r="S16" s="218"/>
      <c r="T16" s="218"/>
      <c r="U16" s="218"/>
      <c r="V16" s="218"/>
      <c r="W16" s="218"/>
      <c r="X16" s="218"/>
      <c r="Z16" s="10"/>
      <c r="AA16" s="10"/>
      <c r="AB16" s="10"/>
      <c r="AC16" s="10"/>
      <c r="AD16" s="10"/>
      <c r="AE16" s="10"/>
      <c r="AF16" s="10"/>
      <c r="AG16" s="10"/>
      <c r="AH16" s="10"/>
      <c r="AI16" s="212"/>
      <c r="AJ16" s="26"/>
      <c r="AK16" s="26"/>
      <c r="AL16" s="219"/>
      <c r="AM16" s="220"/>
      <c r="AN16" s="232"/>
      <c r="AO16" s="233"/>
      <c r="AP16" s="125"/>
      <c r="AQ16" s="10"/>
      <c r="AR16" s="10"/>
      <c r="AS16" s="234"/>
      <c r="AT16" s="127"/>
      <c r="AU16" s="127"/>
      <c r="AV16" s="127"/>
      <c r="AW16" s="10"/>
      <c r="AX16" s="10"/>
      <c r="AY16" s="10"/>
      <c r="AZ16" s="10"/>
      <c r="BA16" s="2"/>
      <c r="BB16" s="10"/>
      <c r="BC16" s="10"/>
      <c r="BD16" s="10"/>
      <c r="BE16" s="2"/>
      <c r="BF16" s="228"/>
      <c r="BG16" s="212"/>
      <c r="BH16" s="212"/>
      <c r="BI16" s="2"/>
      <c r="BJ16" s="156"/>
      <c r="BK16" s="10"/>
      <c r="BL16" s="3"/>
      <c r="BM16" s="235"/>
      <c r="BN16" s="10"/>
      <c r="BO16" s="2"/>
      <c r="BP16" s="2"/>
      <c r="BQ16" s="3"/>
      <c r="BR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>
      <c r="A17" s="122"/>
      <c r="B17" s="122"/>
      <c r="C17" s="382"/>
      <c r="D17" s="382"/>
      <c r="E17" s="382"/>
      <c r="F17" s="382"/>
      <c r="G17" s="382"/>
      <c r="H17" s="382"/>
      <c r="I17" s="80"/>
      <c r="J17" s="416" t="s">
        <v>176</v>
      </c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8"/>
      <c r="X17" s="123"/>
      <c r="Y17" s="419" t="s">
        <v>177</v>
      </c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1"/>
      <c r="AV17" s="123"/>
      <c r="AW17" s="416" t="s">
        <v>178</v>
      </c>
      <c r="AX17" s="417"/>
      <c r="AY17" s="417"/>
      <c r="AZ17" s="417"/>
      <c r="BA17" s="417"/>
      <c r="BB17" s="417"/>
      <c r="BC17" s="417"/>
      <c r="BD17" s="417"/>
      <c r="BE17" s="417"/>
      <c r="BF17" s="417"/>
      <c r="BG17" s="417"/>
      <c r="BH17" s="417"/>
      <c r="BI17" s="417"/>
      <c r="BJ17" s="417"/>
      <c r="BK17" s="417"/>
      <c r="BL17" s="417"/>
      <c r="BM17" s="417"/>
      <c r="BN17" s="417"/>
      <c r="BO17" s="417"/>
      <c r="BP17" s="417"/>
      <c r="BQ17" s="417"/>
      <c r="BR17" s="417"/>
      <c r="BS17" s="417"/>
      <c r="BT17" s="417"/>
      <c r="BU17" s="417"/>
      <c r="BV17" s="417"/>
      <c r="BW17" s="418"/>
    </row>
    <row r="18" spans="1:256">
      <c r="A18" s="124"/>
      <c r="B18" s="71" t="s">
        <v>155</v>
      </c>
      <c r="C18" s="415" t="s">
        <v>156</v>
      </c>
      <c r="D18" s="415"/>
      <c r="E18" s="415"/>
      <c r="F18" s="415" t="s">
        <v>157</v>
      </c>
      <c r="G18" s="415"/>
      <c r="H18" s="415"/>
      <c r="I18" s="125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126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126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ht="65.25">
      <c r="A19" s="122"/>
      <c r="B19" s="72" t="s">
        <v>63</v>
      </c>
      <c r="C19" s="73" t="s">
        <v>158</v>
      </c>
      <c r="D19" s="73" t="s">
        <v>159</v>
      </c>
      <c r="E19" s="73" t="s">
        <v>1</v>
      </c>
      <c r="F19" s="73" t="s">
        <v>158</v>
      </c>
      <c r="G19" s="73" t="s">
        <v>159</v>
      </c>
      <c r="H19" s="73" t="s">
        <v>1</v>
      </c>
      <c r="I19" s="127"/>
      <c r="K19" s="128" t="s">
        <v>266</v>
      </c>
      <c r="L19" s="128" t="s">
        <v>267</v>
      </c>
      <c r="M19" s="128" t="s">
        <v>268</v>
      </c>
      <c r="N19" s="129" t="s">
        <v>269</v>
      </c>
      <c r="O19" s="129" t="s">
        <v>179</v>
      </c>
      <c r="P19" s="129" t="s">
        <v>180</v>
      </c>
      <c r="Q19" s="130" t="s">
        <v>181</v>
      </c>
      <c r="R19" s="128" t="s">
        <v>182</v>
      </c>
      <c r="S19" s="131" t="s">
        <v>183</v>
      </c>
      <c r="T19" s="131" t="s">
        <v>184</v>
      </c>
      <c r="U19" s="131" t="s">
        <v>185</v>
      </c>
      <c r="V19" s="132" t="s">
        <v>161</v>
      </c>
      <c r="W19" s="133" t="s">
        <v>162</v>
      </c>
      <c r="X19" s="134"/>
      <c r="Y19" s="81"/>
      <c r="Z19" s="135" t="s">
        <v>186</v>
      </c>
      <c r="AA19" s="129" t="s">
        <v>270</v>
      </c>
      <c r="AB19" s="136" t="s">
        <v>187</v>
      </c>
      <c r="AC19" s="136" t="s">
        <v>188</v>
      </c>
      <c r="AD19" s="136" t="s">
        <v>271</v>
      </c>
      <c r="AE19" s="129" t="s">
        <v>272</v>
      </c>
      <c r="AF19" s="129" t="s">
        <v>273</v>
      </c>
      <c r="AG19" s="137" t="s">
        <v>274</v>
      </c>
      <c r="AH19" s="137" t="s">
        <v>275</v>
      </c>
      <c r="AI19" s="136" t="s">
        <v>276</v>
      </c>
      <c r="AJ19" s="129" t="s">
        <v>277</v>
      </c>
      <c r="AK19" s="129" t="s">
        <v>278</v>
      </c>
      <c r="AL19" s="129" t="s">
        <v>279</v>
      </c>
      <c r="AM19" s="136" t="s">
        <v>189</v>
      </c>
      <c r="AN19" s="138" t="s">
        <v>190</v>
      </c>
      <c r="AO19" s="129" t="s">
        <v>191</v>
      </c>
      <c r="AP19" s="129" t="s">
        <v>192</v>
      </c>
      <c r="AQ19" s="139" t="s">
        <v>183</v>
      </c>
      <c r="AR19" s="131" t="s">
        <v>193</v>
      </c>
      <c r="AS19" s="131" t="s">
        <v>194</v>
      </c>
      <c r="AT19" s="132" t="s">
        <v>161</v>
      </c>
      <c r="AU19" s="133" t="s">
        <v>162</v>
      </c>
      <c r="AV19" s="134"/>
      <c r="AX19" s="140" t="s">
        <v>195</v>
      </c>
      <c r="AY19" s="140" t="s">
        <v>187</v>
      </c>
      <c r="AZ19" s="141" t="s">
        <v>280</v>
      </c>
      <c r="BA19" s="142" t="s">
        <v>281</v>
      </c>
      <c r="BC19" s="136" t="s">
        <v>282</v>
      </c>
      <c r="BD19" s="136" t="s">
        <v>283</v>
      </c>
      <c r="BE19" s="136" t="s">
        <v>196</v>
      </c>
      <c r="BF19" s="136" t="s">
        <v>197</v>
      </c>
      <c r="BG19" s="136" t="s">
        <v>198</v>
      </c>
      <c r="BH19" s="136" t="s">
        <v>199</v>
      </c>
      <c r="BI19" s="136" t="s">
        <v>200</v>
      </c>
      <c r="BJ19" s="136" t="s">
        <v>284</v>
      </c>
      <c r="BK19" s="136" t="s">
        <v>201</v>
      </c>
      <c r="BL19" s="136" t="s">
        <v>202</v>
      </c>
      <c r="BM19" s="143" t="s">
        <v>285</v>
      </c>
      <c r="BN19" s="143" t="s">
        <v>286</v>
      </c>
      <c r="BO19" s="143" t="s">
        <v>287</v>
      </c>
      <c r="BP19" s="143" t="s">
        <v>288</v>
      </c>
      <c r="BQ19" s="143" t="s">
        <v>289</v>
      </c>
      <c r="BR19" s="144"/>
      <c r="BS19" s="131" t="s">
        <v>290</v>
      </c>
      <c r="BT19" s="131" t="s">
        <v>291</v>
      </c>
      <c r="BU19" s="130" t="s">
        <v>292</v>
      </c>
      <c r="BV19" s="132" t="s">
        <v>293</v>
      </c>
      <c r="BW19" s="133" t="s">
        <v>294</v>
      </c>
    </row>
    <row r="20" spans="1:256">
      <c r="A20" s="116"/>
      <c r="B20" s="106" t="s">
        <v>3</v>
      </c>
      <c r="C20" s="74">
        <v>19</v>
      </c>
      <c r="D20" s="75">
        <v>5109</v>
      </c>
      <c r="E20" s="76">
        <v>5128</v>
      </c>
      <c r="F20" s="74">
        <v>13</v>
      </c>
      <c r="G20" s="75">
        <v>5110</v>
      </c>
      <c r="H20" s="76">
        <v>5123</v>
      </c>
      <c r="I20" s="146"/>
      <c r="K20" s="147">
        <f>(C20/E20)/(F20/H20)</f>
        <v>1.4601134045361817</v>
      </c>
      <c r="L20" s="148">
        <f>(D20/(C20*E20)+(G20/(F20*H20)))</f>
        <v>0.12916444994403536</v>
      </c>
      <c r="M20" s="149">
        <f>1/L20</f>
        <v>7.7420683511080801</v>
      </c>
      <c r="N20" s="150">
        <f>LN(K20)</f>
        <v>0.37851410704360017</v>
      </c>
      <c r="O20" s="150">
        <f>M20*N20</f>
        <v>2.930482088590193</v>
      </c>
      <c r="P20" s="150">
        <f>LN(K20)</f>
        <v>0.37851410704360017</v>
      </c>
      <c r="Q20" s="236">
        <f>K20</f>
        <v>1.4601134045361817</v>
      </c>
      <c r="R20" s="151">
        <f>SQRT(1/M20)</f>
        <v>0.3593945602593831</v>
      </c>
      <c r="S20" s="152">
        <f>-NORMSINV(2.5/100)</f>
        <v>1.9599639845400538</v>
      </c>
      <c r="T20" s="153">
        <f>P20-(R20*S20)</f>
        <v>-0.32588628730440078</v>
      </c>
      <c r="U20" s="153">
        <f>P20+(R20*S20)</f>
        <v>1.0829145013916011</v>
      </c>
      <c r="V20" s="154">
        <f>EXP(T20)</f>
        <v>0.72188727051213186</v>
      </c>
      <c r="W20" s="155">
        <f>EXP(U20)</f>
        <v>2.9532743423966639</v>
      </c>
      <c r="X20" s="156"/>
      <c r="Z20" s="157">
        <f>(N20-P25)^2</f>
        <v>0.25310490218231646</v>
      </c>
      <c r="AA20" s="158">
        <f>M20*Z20</f>
        <v>1.9595554526960186</v>
      </c>
      <c r="AB20" s="159">
        <v>1</v>
      </c>
      <c r="AC20" s="144"/>
      <c r="AD20" s="144"/>
      <c r="AE20" s="149">
        <f>M20^2</f>
        <v>59.939622353229389</v>
      </c>
      <c r="AF20" s="160"/>
      <c r="AG20" s="161">
        <f>AG25</f>
        <v>3.1599649023652626E-4</v>
      </c>
      <c r="AH20" s="161">
        <f>AH25</f>
        <v>3.1599649023652626E-4</v>
      </c>
      <c r="AI20" s="158">
        <f>1/M20</f>
        <v>0.12916444994403536</v>
      </c>
      <c r="AJ20" s="162">
        <f>1/(AH20+AI20)</f>
        <v>7.7231738655429307</v>
      </c>
      <c r="AK20" s="163">
        <f>AJ20/AJ25</f>
        <v>3.8090115341005849E-2</v>
      </c>
      <c r="AL20" s="164">
        <f>AJ20*N20</f>
        <v>2.923330259258452</v>
      </c>
      <c r="AM20" s="165">
        <f>AL20/AJ20</f>
        <v>0.37851410704360017</v>
      </c>
      <c r="AN20" s="155">
        <f>EXP(AM20)</f>
        <v>1.4601134045361817</v>
      </c>
      <c r="AO20" s="166">
        <f>1/AJ20</f>
        <v>0.1294804464342719</v>
      </c>
      <c r="AP20" s="155">
        <f>SQRT(AO20)</f>
        <v>0.35983391506953855</v>
      </c>
      <c r="AQ20" s="167">
        <f>-NORMSINV(2.5/100)</f>
        <v>1.9599639845400538</v>
      </c>
      <c r="AR20" s="153">
        <f>AM20-(AQ20*AP20)</f>
        <v>-0.32674740690873988</v>
      </c>
      <c r="AS20" s="153">
        <f>AM20+(1.96*AP20)</f>
        <v>1.0837885805798957</v>
      </c>
      <c r="AT20" s="168">
        <f>EXP(AR20)</f>
        <v>0.72126590680400282</v>
      </c>
      <c r="AU20" s="168">
        <f>EXP(AS20)</f>
        <v>2.9558568665375562</v>
      </c>
      <c r="AV20" s="127"/>
      <c r="AX20" s="169"/>
      <c r="AY20" s="169">
        <v>1</v>
      </c>
      <c r="AZ20" s="170"/>
      <c r="BA20" s="170"/>
      <c r="BC20" s="144"/>
      <c r="BD20" s="144"/>
      <c r="BE20" s="159"/>
      <c r="BF20" s="159"/>
      <c r="BG20" s="159"/>
      <c r="BH20" s="159"/>
      <c r="BI20" s="159"/>
      <c r="BJ20" s="159"/>
      <c r="BK20" s="159"/>
      <c r="BL20" s="159"/>
      <c r="BM20" s="144"/>
      <c r="BN20" s="144"/>
      <c r="BO20" s="144"/>
      <c r="BP20" s="144"/>
      <c r="BQ20" s="144"/>
      <c r="BR20" s="144"/>
      <c r="BS20" s="171"/>
      <c r="BT20" s="171"/>
      <c r="BU20" s="171"/>
      <c r="BV20" s="144"/>
      <c r="BW20" s="144"/>
    </row>
    <row r="21" spans="1:256">
      <c r="A21" s="116"/>
      <c r="B21" s="106" t="s">
        <v>4</v>
      </c>
      <c r="C21" s="74">
        <v>157</v>
      </c>
      <c r="D21" s="75">
        <v>5414</v>
      </c>
      <c r="E21" s="76">
        <v>5571</v>
      </c>
      <c r="F21" s="74">
        <v>181</v>
      </c>
      <c r="G21" s="75">
        <v>5388</v>
      </c>
      <c r="H21" s="76">
        <v>5569</v>
      </c>
      <c r="I21" s="146"/>
      <c r="K21" s="147">
        <f t="shared" ref="K21:K24" si="27">(C21/E21)/(F21/H21)</f>
        <v>0.86709191541437458</v>
      </c>
      <c r="L21" s="148">
        <f t="shared" ref="L21:L24" si="28">(D21/(C21*E21)+(G21/(F21*H21)))</f>
        <v>1.1535222191182855E-2</v>
      </c>
      <c r="M21" s="149">
        <f t="shared" ref="M21:M24" si="29">1/L21</f>
        <v>86.691004596718315</v>
      </c>
      <c r="N21" s="150">
        <f t="shared" ref="N21:N24" si="30">LN(K21)</f>
        <v>-0.14261029234866454</v>
      </c>
      <c r="O21" s="150">
        <f t="shared" ref="O21:O24" si="31">M21*N21</f>
        <v>-12.363029509537421</v>
      </c>
      <c r="P21" s="150">
        <f t="shared" ref="P21:P24" si="32">LN(K21)</f>
        <v>-0.14261029234866454</v>
      </c>
      <c r="Q21" s="236">
        <f t="shared" ref="Q21:Q24" si="33">K21</f>
        <v>0.86709191541437458</v>
      </c>
      <c r="R21" s="151">
        <f t="shared" ref="R21:R24" si="34">SQRT(1/M21)</f>
        <v>0.10740215170648518</v>
      </c>
      <c r="S21" s="152">
        <f t="shared" ref="S21:S24" si="35">-NORMSINV(2.5/100)</f>
        <v>1.9599639845400538</v>
      </c>
      <c r="T21" s="153">
        <f t="shared" ref="T21:T24" si="36">P21-(R21*S21)</f>
        <v>-0.35311464155548256</v>
      </c>
      <c r="U21" s="153">
        <f t="shared" ref="U21:U24" si="37">P21+(R21*S21)</f>
        <v>6.7894056858153501E-2</v>
      </c>
      <c r="V21" s="154">
        <f t="shared" ref="V21:W24" si="38">EXP(T21)</f>
        <v>0.70249665345164558</v>
      </c>
      <c r="W21" s="155">
        <f t="shared" si="38"/>
        <v>1.0702519166217215</v>
      </c>
      <c r="X21" s="156"/>
      <c r="Z21" s="157">
        <f>(N21-P25)^2</f>
        <v>3.2504766157424685E-4</v>
      </c>
      <c r="AA21" s="158">
        <f t="shared" ref="AA21:AA24" si="39">M21*Z21</f>
        <v>2.8178708323685572E-2</v>
      </c>
      <c r="AB21" s="159">
        <v>1</v>
      </c>
      <c r="AC21" s="144"/>
      <c r="AD21" s="144"/>
      <c r="AE21" s="149">
        <f t="shared" ref="AE21:AE24" si="40">M21^2</f>
        <v>7515.330277988236</v>
      </c>
      <c r="AF21" s="160"/>
      <c r="AG21" s="161">
        <f>AG25</f>
        <v>3.1599649023652626E-4</v>
      </c>
      <c r="AH21" s="161">
        <f>AH25</f>
        <v>3.1599649023652626E-4</v>
      </c>
      <c r="AI21" s="158">
        <f t="shared" ref="AI21:AI24" si="41">1/M21</f>
        <v>1.1535222191182855E-2</v>
      </c>
      <c r="AJ21" s="162">
        <f t="shared" ref="AJ21:AJ24" si="42">1/(AH21+AI21)</f>
        <v>84.379507870175701</v>
      </c>
      <c r="AK21" s="163">
        <f>AJ21/AJ25</f>
        <v>0.41615341608865369</v>
      </c>
      <c r="AL21" s="164">
        <f t="shared" ref="AL21:AL24" si="43">AJ21*N21</f>
        <v>-12.033386285602198</v>
      </c>
      <c r="AM21" s="165">
        <f t="shared" ref="AM21:AM24" si="44">AL21/AJ21</f>
        <v>-0.14261029234866454</v>
      </c>
      <c r="AN21" s="155">
        <f t="shared" ref="AN21:AN24" si="45">EXP(AM21)</f>
        <v>0.86709191541437458</v>
      </c>
      <c r="AO21" s="166">
        <f t="shared" ref="AO21:AO24" si="46">1/AJ21</f>
        <v>1.1851218681419381E-2</v>
      </c>
      <c r="AP21" s="155">
        <f t="shared" ref="AP21:AP24" si="47">SQRT(AO21)</f>
        <v>0.10886330273062352</v>
      </c>
      <c r="AQ21" s="167">
        <f t="shared" ref="AQ21:AQ24" si="48">-NORMSINV(2.5/100)</f>
        <v>1.9599639845400538</v>
      </c>
      <c r="AR21" s="153">
        <f t="shared" ref="AR21:AR24" si="49">AM21-(AQ21*AP21)</f>
        <v>-0.35597844493876751</v>
      </c>
      <c r="AS21" s="153">
        <f t="shared" ref="AS21:AS24" si="50">AM21+(1.96*AP21)</f>
        <v>7.0761781003357532E-2</v>
      </c>
      <c r="AT21" s="168">
        <f t="shared" ref="AT21:AU24" si="51">EXP(AR21)</f>
        <v>0.7004877191282014</v>
      </c>
      <c r="AU21" s="168">
        <f t="shared" si="51"/>
        <v>1.0733255088854476</v>
      </c>
      <c r="AV21" s="127"/>
      <c r="AX21" s="169"/>
      <c r="AY21" s="169">
        <v>1</v>
      </c>
      <c r="AZ21" s="170"/>
      <c r="BA21" s="170"/>
      <c r="BC21" s="144"/>
      <c r="BD21" s="144"/>
      <c r="BE21" s="159"/>
      <c r="BF21" s="159"/>
      <c r="BG21" s="159"/>
      <c r="BH21" s="159"/>
      <c r="BI21" s="159"/>
      <c r="BJ21" s="159"/>
      <c r="BK21" s="159"/>
      <c r="BL21" s="159"/>
      <c r="BM21" s="144"/>
      <c r="BN21" s="144"/>
      <c r="BO21" s="144"/>
      <c r="BP21" s="144"/>
      <c r="BQ21" s="144"/>
      <c r="BR21" s="144"/>
      <c r="BS21" s="171"/>
      <c r="BT21" s="171"/>
      <c r="BU21" s="171"/>
      <c r="BV21" s="144"/>
      <c r="BW21" s="144"/>
    </row>
    <row r="22" spans="1:256">
      <c r="A22" s="116"/>
      <c r="B22" s="106" t="s">
        <v>259</v>
      </c>
      <c r="C22" s="74">
        <v>45</v>
      </c>
      <c r="D22" s="75">
        <v>2560</v>
      </c>
      <c r="E22" s="76">
        <v>2605</v>
      </c>
      <c r="F22" s="74">
        <v>58</v>
      </c>
      <c r="G22" s="75">
        <v>2575</v>
      </c>
      <c r="H22" s="76">
        <v>2633</v>
      </c>
      <c r="I22" s="146"/>
      <c r="K22" s="147">
        <f t="shared" si="27"/>
        <v>0.78420146932292023</v>
      </c>
      <c r="L22" s="148">
        <f t="shared" si="28"/>
        <v>3.869992946250983E-2</v>
      </c>
      <c r="M22" s="149">
        <f t="shared" si="29"/>
        <v>25.839840379263222</v>
      </c>
      <c r="N22" s="150">
        <f t="shared" si="30"/>
        <v>-0.24308931546725732</v>
      </c>
      <c r="O22" s="150">
        <f t="shared" si="31"/>
        <v>-6.2813891095782912</v>
      </c>
      <c r="P22" s="150">
        <f t="shared" si="32"/>
        <v>-0.24308931546725732</v>
      </c>
      <c r="Q22" s="236">
        <f t="shared" si="33"/>
        <v>0.78420146932292023</v>
      </c>
      <c r="R22" s="151">
        <f t="shared" si="34"/>
        <v>0.19672297644787157</v>
      </c>
      <c r="S22" s="152">
        <f t="shared" si="35"/>
        <v>1.9599639845400538</v>
      </c>
      <c r="T22" s="153">
        <f t="shared" si="36"/>
        <v>-0.6286592642366069</v>
      </c>
      <c r="U22" s="153">
        <f t="shared" si="37"/>
        <v>0.14248063330209221</v>
      </c>
      <c r="V22" s="154">
        <f t="shared" si="38"/>
        <v>0.53330634478195693</v>
      </c>
      <c r="W22" s="155">
        <f t="shared" si="38"/>
        <v>1.1531307484062638</v>
      </c>
      <c r="X22" s="156"/>
      <c r="Z22" s="157">
        <f>(N22-P25)^2</f>
        <v>1.4044170083610218E-2</v>
      </c>
      <c r="AA22" s="158">
        <f t="shared" si="39"/>
        <v>0.36289911321971186</v>
      </c>
      <c r="AB22" s="159">
        <v>1</v>
      </c>
      <c r="AC22" s="144"/>
      <c r="AD22" s="144"/>
      <c r="AE22" s="149">
        <f t="shared" si="40"/>
        <v>667.69735082580212</v>
      </c>
      <c r="AF22" s="160"/>
      <c r="AG22" s="161">
        <f>AG25</f>
        <v>3.1599649023652626E-4</v>
      </c>
      <c r="AH22" s="161">
        <f>AH25</f>
        <v>3.1599649023652626E-4</v>
      </c>
      <c r="AI22" s="158">
        <f t="shared" si="41"/>
        <v>3.869992946250983E-2</v>
      </c>
      <c r="AJ22" s="162">
        <f t="shared" si="42"/>
        <v>25.630559203211973</v>
      </c>
      <c r="AK22" s="163">
        <f>AJ22/AJ25</f>
        <v>0.12640799926316204</v>
      </c>
      <c r="AL22" s="164">
        <f t="shared" si="43"/>
        <v>-6.2305150917518111</v>
      </c>
      <c r="AM22" s="165">
        <f t="shared" si="44"/>
        <v>-0.24308931546725732</v>
      </c>
      <c r="AN22" s="155">
        <f t="shared" si="45"/>
        <v>0.78420146932292023</v>
      </c>
      <c r="AO22" s="166">
        <f t="shared" si="46"/>
        <v>3.9015925952746354E-2</v>
      </c>
      <c r="AP22" s="155">
        <f t="shared" si="47"/>
        <v>0.19752449456395618</v>
      </c>
      <c r="AQ22" s="167">
        <f t="shared" si="48"/>
        <v>1.9599639845400538</v>
      </c>
      <c r="AR22" s="153">
        <f t="shared" si="49"/>
        <v>-0.63023021087708908</v>
      </c>
      <c r="AS22" s="153">
        <f t="shared" si="50"/>
        <v>0.14405869387809678</v>
      </c>
      <c r="AT22" s="168">
        <f t="shared" si="51"/>
        <v>0.53246920669307063</v>
      </c>
      <c r="AU22" s="168">
        <f t="shared" si="51"/>
        <v>1.1549518951413056</v>
      </c>
      <c r="AV22" s="127"/>
      <c r="AX22" s="169"/>
      <c r="AY22" s="169">
        <v>1</v>
      </c>
      <c r="AZ22" s="170"/>
      <c r="BA22" s="170"/>
      <c r="BC22" s="144"/>
      <c r="BD22" s="144"/>
      <c r="BE22" s="159"/>
      <c r="BF22" s="159"/>
      <c r="BG22" s="159"/>
      <c r="BH22" s="159"/>
      <c r="BI22" s="159"/>
      <c r="BJ22" s="159"/>
      <c r="BK22" s="159"/>
      <c r="BL22" s="159"/>
      <c r="BM22" s="144"/>
      <c r="BN22" s="144"/>
      <c r="BO22" s="144"/>
      <c r="BP22" s="144"/>
      <c r="BQ22" s="144"/>
      <c r="BR22" s="144"/>
      <c r="BS22" s="171"/>
      <c r="BT22" s="171"/>
      <c r="BU22" s="171"/>
      <c r="BV22" s="144"/>
      <c r="BW22" s="144"/>
    </row>
    <row r="23" spans="1:256">
      <c r="A23" s="116"/>
      <c r="B23" s="107" t="s">
        <v>5</v>
      </c>
      <c r="C23" s="74">
        <v>205</v>
      </c>
      <c r="D23" s="75">
        <v>2866</v>
      </c>
      <c r="E23" s="76">
        <v>3071</v>
      </c>
      <c r="F23" s="74">
        <v>118</v>
      </c>
      <c r="G23" s="75">
        <v>1431</v>
      </c>
      <c r="H23" s="76">
        <v>1549</v>
      </c>
      <c r="I23" s="146"/>
      <c r="K23" s="147">
        <f t="shared" si="27"/>
        <v>0.87628112081859277</v>
      </c>
      <c r="L23" s="148">
        <f t="shared" si="28"/>
        <v>1.2381420427899366E-2</v>
      </c>
      <c r="M23" s="149">
        <f t="shared" si="29"/>
        <v>80.766177501466217</v>
      </c>
      <c r="N23" s="150">
        <f t="shared" si="30"/>
        <v>-0.13206832535121027</v>
      </c>
      <c r="O23" s="150">
        <f t="shared" si="31"/>
        <v>-10.666653807637239</v>
      </c>
      <c r="P23" s="150">
        <f t="shared" si="32"/>
        <v>-0.13206832535121027</v>
      </c>
      <c r="Q23" s="236">
        <f t="shared" si="33"/>
        <v>0.87628112081859277</v>
      </c>
      <c r="R23" s="151">
        <f t="shared" si="34"/>
        <v>0.11127183124178089</v>
      </c>
      <c r="S23" s="152">
        <f t="shared" si="35"/>
        <v>1.9599639845400538</v>
      </c>
      <c r="T23" s="153">
        <f t="shared" si="36"/>
        <v>-0.35015710707891956</v>
      </c>
      <c r="U23" s="153">
        <f t="shared" si="37"/>
        <v>8.6020456376499049E-2</v>
      </c>
      <c r="V23" s="154">
        <f t="shared" si="38"/>
        <v>0.7045773869277121</v>
      </c>
      <c r="W23" s="155">
        <f t="shared" si="38"/>
        <v>1.089828622021715</v>
      </c>
      <c r="X23" s="156"/>
      <c r="Z23" s="157">
        <f>(N23-P107)^2</f>
        <v>1.744204256107313E-2</v>
      </c>
      <c r="AA23" s="158">
        <f t="shared" si="39"/>
        <v>1.4087271054757609</v>
      </c>
      <c r="AB23" s="159">
        <v>1</v>
      </c>
      <c r="AC23" s="144"/>
      <c r="AD23" s="144"/>
      <c r="AE23" s="149">
        <f t="shared" si="40"/>
        <v>6523.1754281983476</v>
      </c>
      <c r="AF23" s="160"/>
      <c r="AG23" s="161">
        <f>AG25</f>
        <v>3.1599649023652626E-4</v>
      </c>
      <c r="AH23" s="161">
        <f>AH25</f>
        <v>3.1599649023652626E-4</v>
      </c>
      <c r="AI23" s="158">
        <f t="shared" si="41"/>
        <v>1.2381420427899366E-2</v>
      </c>
      <c r="AJ23" s="162">
        <f t="shared" si="42"/>
        <v>78.756175877921009</v>
      </c>
      <c r="AK23" s="163">
        <f>AJ23/AJ25</f>
        <v>0.3884195636706243</v>
      </c>
      <c r="AL23" s="164">
        <f t="shared" si="43"/>
        <v>-10.401196259262409</v>
      </c>
      <c r="AM23" s="165">
        <f t="shared" si="44"/>
        <v>-0.13206832535121027</v>
      </c>
      <c r="AN23" s="155">
        <f t="shared" si="45"/>
        <v>0.87628112081859277</v>
      </c>
      <c r="AO23" s="166">
        <f t="shared" si="46"/>
        <v>1.2697416918135892E-2</v>
      </c>
      <c r="AP23" s="155">
        <f t="shared" si="47"/>
        <v>0.11268281554050685</v>
      </c>
      <c r="AQ23" s="167">
        <f t="shared" si="48"/>
        <v>1.9599639845400538</v>
      </c>
      <c r="AR23" s="153">
        <f t="shared" si="49"/>
        <v>-0.35292258548717398</v>
      </c>
      <c r="AS23" s="153">
        <f t="shared" si="50"/>
        <v>8.8789993108183168E-2</v>
      </c>
      <c r="AT23" s="168">
        <f t="shared" si="51"/>
        <v>0.70263158515371882</v>
      </c>
      <c r="AU23" s="168">
        <f t="shared" si="51"/>
        <v>1.0928511259575133</v>
      </c>
      <c r="AV23" s="127"/>
      <c r="AX23" s="169"/>
      <c r="AY23" s="169">
        <v>1</v>
      </c>
      <c r="AZ23" s="170"/>
      <c r="BA23" s="170"/>
      <c r="BC23" s="144"/>
      <c r="BD23" s="144"/>
      <c r="BE23" s="159"/>
      <c r="BF23" s="159"/>
      <c r="BG23" s="159"/>
      <c r="BH23" s="159"/>
      <c r="BI23" s="159"/>
      <c r="BJ23" s="159"/>
      <c r="BK23" s="159"/>
      <c r="BL23" s="159"/>
      <c r="BM23" s="144"/>
      <c r="BN23" s="144"/>
      <c r="BO23" s="144"/>
      <c r="BP23" s="144"/>
      <c r="BQ23" s="144"/>
      <c r="BR23" s="144"/>
      <c r="BS23" s="171"/>
      <c r="BT23" s="171"/>
      <c r="BU23" s="171"/>
      <c r="BV23" s="144"/>
      <c r="BW23" s="144"/>
    </row>
    <row r="24" spans="1:256">
      <c r="A24" s="116"/>
      <c r="B24" s="107" t="s">
        <v>6</v>
      </c>
      <c r="C24" s="74">
        <v>13</v>
      </c>
      <c r="D24" s="75">
        <v>892</v>
      </c>
      <c r="E24" s="76">
        <v>892</v>
      </c>
      <c r="F24" s="74">
        <v>12</v>
      </c>
      <c r="G24" s="75">
        <v>887</v>
      </c>
      <c r="H24" s="76">
        <v>899</v>
      </c>
      <c r="I24" s="146"/>
      <c r="K24" s="147">
        <f t="shared" si="27"/>
        <v>1.0918348281016441</v>
      </c>
      <c r="L24" s="148">
        <f t="shared" si="28"/>
        <v>0.15914406320412994</v>
      </c>
      <c r="M24" s="149">
        <f t="shared" si="29"/>
        <v>6.2836148572964738</v>
      </c>
      <c r="N24" s="150">
        <f t="shared" si="30"/>
        <v>8.7859609565147198E-2</v>
      </c>
      <c r="O24" s="150">
        <f t="shared" si="31"/>
        <v>0.55207594801982629</v>
      </c>
      <c r="P24" s="150">
        <f t="shared" si="32"/>
        <v>8.7859609565147198E-2</v>
      </c>
      <c r="Q24" s="236">
        <f t="shared" si="33"/>
        <v>1.0918348281016441</v>
      </c>
      <c r="R24" s="151">
        <f t="shared" si="34"/>
        <v>0.39892864425123692</v>
      </c>
      <c r="S24" s="152">
        <f t="shared" si="35"/>
        <v>1.9599639845400538</v>
      </c>
      <c r="T24" s="153">
        <f t="shared" si="36"/>
        <v>-0.69402616556866881</v>
      </c>
      <c r="U24" s="153">
        <f t="shared" si="37"/>
        <v>0.86974538469896312</v>
      </c>
      <c r="V24" s="154">
        <f t="shared" si="38"/>
        <v>0.49956070059271901</v>
      </c>
      <c r="W24" s="155">
        <f t="shared" si="38"/>
        <v>2.3863031868626563</v>
      </c>
      <c r="X24" s="156"/>
      <c r="Z24" s="157">
        <f>(N24-P25)^2</f>
        <v>4.5131103570392919E-2</v>
      </c>
      <c r="AA24" s="158">
        <f t="shared" si="39"/>
        <v>0.28358647292110689</v>
      </c>
      <c r="AB24" s="159">
        <v>1</v>
      </c>
      <c r="AC24" s="144"/>
      <c r="AD24" s="144"/>
      <c r="AE24" s="149">
        <f t="shared" si="40"/>
        <v>39.483815674836983</v>
      </c>
      <c r="AF24" s="160"/>
      <c r="AG24" s="161">
        <f>AG25</f>
        <v>3.1599649023652626E-4</v>
      </c>
      <c r="AH24" s="161">
        <f>AH25</f>
        <v>3.1599649023652626E-4</v>
      </c>
      <c r="AI24" s="158">
        <f t="shared" si="41"/>
        <v>0.15914406320412994</v>
      </c>
      <c r="AJ24" s="162">
        <f t="shared" si="42"/>
        <v>6.2711628348608279</v>
      </c>
      <c r="AK24" s="163">
        <f>AJ24/AJ25</f>
        <v>3.0928905636554111E-2</v>
      </c>
      <c r="AL24" s="164">
        <f t="shared" si="43"/>
        <v>0.55098191819033404</v>
      </c>
      <c r="AM24" s="165">
        <f t="shared" si="44"/>
        <v>8.7859609565147198E-2</v>
      </c>
      <c r="AN24" s="155">
        <f t="shared" si="45"/>
        <v>1.0918348281016441</v>
      </c>
      <c r="AO24" s="166">
        <f t="shared" si="46"/>
        <v>0.15946005969436647</v>
      </c>
      <c r="AP24" s="155">
        <f t="shared" si="47"/>
        <v>0.39932450424982247</v>
      </c>
      <c r="AQ24" s="167">
        <f t="shared" si="48"/>
        <v>1.9599639845400538</v>
      </c>
      <c r="AR24" s="153">
        <f t="shared" si="49"/>
        <v>-0.69480203690881659</v>
      </c>
      <c r="AS24" s="153">
        <f t="shared" si="50"/>
        <v>0.87053563789479915</v>
      </c>
      <c r="AT24" s="168">
        <f t="shared" si="51"/>
        <v>0.49917325608544555</v>
      </c>
      <c r="AU24" s="168">
        <f t="shared" si="51"/>
        <v>2.3881897159019312</v>
      </c>
      <c r="AV24" s="127"/>
      <c r="AX24" s="169"/>
      <c r="AY24" s="169">
        <v>1</v>
      </c>
      <c r="AZ24" s="170"/>
      <c r="BA24" s="170"/>
      <c r="BC24" s="144"/>
      <c r="BD24" s="144"/>
      <c r="BE24" s="159"/>
      <c r="BF24" s="159"/>
      <c r="BG24" s="159"/>
      <c r="BH24" s="159"/>
      <c r="BI24" s="159"/>
      <c r="BJ24" s="159"/>
      <c r="BK24" s="159"/>
      <c r="BL24" s="159"/>
      <c r="BM24" s="144"/>
      <c r="BN24" s="144"/>
      <c r="BO24" s="144"/>
      <c r="BP24" s="144"/>
      <c r="BQ24" s="144"/>
      <c r="BR24" s="144"/>
      <c r="BS24" s="171"/>
      <c r="BT24" s="171"/>
      <c r="BU24" s="171"/>
      <c r="BV24" s="144"/>
      <c r="BW24" s="144"/>
    </row>
    <row r="25" spans="1:256">
      <c r="A25" s="116"/>
      <c r="B25" s="77">
        <f>COUNT(C20:C24)</f>
        <v>5</v>
      </c>
      <c r="C25" s="359">
        <f>SUM(C20:C24)</f>
        <v>439</v>
      </c>
      <c r="D25" s="359">
        <f>SUM(D20:D24)</f>
        <v>16841</v>
      </c>
      <c r="E25" s="359">
        <f>SUM(E20:E24)</f>
        <v>17267</v>
      </c>
      <c r="F25" s="359">
        <f>SUM(F20:F24)</f>
        <v>382</v>
      </c>
      <c r="G25" s="359">
        <f>SUM(G20:G24)</f>
        <v>15391</v>
      </c>
      <c r="H25" s="359">
        <f>SUM(H20:H24)</f>
        <v>15773</v>
      </c>
      <c r="I25" s="82"/>
      <c r="K25" s="172"/>
      <c r="L25" s="173"/>
      <c r="M25" s="174">
        <f>SUM(M20:M24)</f>
        <v>207.3227056858523</v>
      </c>
      <c r="N25" s="175"/>
      <c r="O25" s="176">
        <f>SUM(O20:O24)</f>
        <v>-25.828514390142931</v>
      </c>
      <c r="P25" s="177">
        <f>O25/M25</f>
        <v>-0.12458121412557596</v>
      </c>
      <c r="Q25" s="178">
        <f>EXP(P25)</f>
        <v>0.88286655721928797</v>
      </c>
      <c r="R25" s="78">
        <f>SQRT(1/M25)</f>
        <v>6.9450690182117844E-2</v>
      </c>
      <c r="S25" s="152">
        <f>-NORMSINV(2.5/100)</f>
        <v>1.9599639845400538</v>
      </c>
      <c r="T25" s="179">
        <f>P25-(R25*S25)</f>
        <v>-0.26070206558397646</v>
      </c>
      <c r="U25" s="179">
        <f>P25+(R25*S25)</f>
        <v>1.1539637332824537E-2</v>
      </c>
      <c r="V25" s="180">
        <f>EXP(T25)</f>
        <v>0.77051044700139482</v>
      </c>
      <c r="W25" s="181">
        <f>EXP(U25)</f>
        <v>1.0116064757975012</v>
      </c>
      <c r="X25" s="182"/>
      <c r="Y25" s="182"/>
      <c r="Z25" s="183"/>
      <c r="AA25" s="184">
        <f>SUM(AA20:AA24)</f>
        <v>4.0429468526362839</v>
      </c>
      <c r="AB25" s="185">
        <f>SUM(AB20:AB24)</f>
        <v>5</v>
      </c>
      <c r="AC25" s="186">
        <f>AA25-(AB25-1)</f>
        <v>4.294685263628395E-2</v>
      </c>
      <c r="AD25" s="174">
        <f>M25</f>
        <v>207.3227056858523</v>
      </c>
      <c r="AE25" s="174">
        <f>SUM(AE20:AE24)</f>
        <v>14805.626495040451</v>
      </c>
      <c r="AF25" s="187">
        <f>AE25/AD25</f>
        <v>71.413434655222076</v>
      </c>
      <c r="AG25" s="188">
        <f>AC25/(AD25-AF25)</f>
        <v>3.1599649023652626E-4</v>
      </c>
      <c r="AH25" s="188">
        <f>IF(AA25&lt;AB25-1,"0",AG25)</f>
        <v>3.1599649023652626E-4</v>
      </c>
      <c r="AI25" s="183"/>
      <c r="AJ25" s="174">
        <f>SUM(AJ20:AJ24)</f>
        <v>202.76057965171245</v>
      </c>
      <c r="AK25" s="189">
        <f>SUM(AK20:AK24)</f>
        <v>1</v>
      </c>
      <c r="AL25" s="186">
        <f>SUM(AL20:AL24)</f>
        <v>-25.190785459167632</v>
      </c>
      <c r="AM25" s="186">
        <f>AL25/AJ25</f>
        <v>-0.12423906807939962</v>
      </c>
      <c r="AN25" s="190">
        <f>EXP(AM25)</f>
        <v>0.88316867820294453</v>
      </c>
      <c r="AO25" s="191">
        <f>1/AJ25</f>
        <v>4.9319251390863459E-3</v>
      </c>
      <c r="AP25" s="192">
        <f>SQRT(AO25)</f>
        <v>7.0227666479004885E-2</v>
      </c>
      <c r="AQ25" s="193">
        <f>-NORMSINV(2.5/100)</f>
        <v>1.9599639845400538</v>
      </c>
      <c r="AR25" s="179">
        <f>AM25-(AQ25*AP25)</f>
        <v>-0.26188276509654002</v>
      </c>
      <c r="AS25" s="179">
        <f>AM25+(1.96*AP25)</f>
        <v>1.3407158219449947E-2</v>
      </c>
      <c r="AT25" s="194">
        <f>EXP(AR25)</f>
        <v>0.76960124254644668</v>
      </c>
      <c r="AU25" s="195">
        <f>EXP(AS25)</f>
        <v>1.0134974371754513</v>
      </c>
      <c r="AV25" s="196"/>
      <c r="AW25" s="20"/>
      <c r="AX25" s="197">
        <f>AA25</f>
        <v>4.0429468526362839</v>
      </c>
      <c r="AY25" s="77">
        <f>SUM(AY20:AY24)</f>
        <v>5</v>
      </c>
      <c r="AZ25" s="198">
        <f>(AX25-(AY25-1))/AX25</f>
        <v>1.0622660698168614E-2</v>
      </c>
      <c r="BA25" s="199">
        <f>IF(AA25&lt;AB25-1,"0%",AZ25)</f>
        <v>1.0622660698168614E-2</v>
      </c>
      <c r="BB25" s="200"/>
      <c r="BC25" s="176">
        <f>AX25/(AY25-1)</f>
        <v>1.010736713159071</v>
      </c>
      <c r="BD25" s="201">
        <f>LN(BC25)</f>
        <v>1.0679483925821074E-2</v>
      </c>
      <c r="BE25" s="176">
        <f>LN(AX25)</f>
        <v>1.3969738450457116</v>
      </c>
      <c r="BF25" s="176">
        <f>LN(AY25-1)</f>
        <v>1.3862943611198906</v>
      </c>
      <c r="BG25" s="176">
        <f>SQRT(2*AX25)</f>
        <v>2.8435705908720759</v>
      </c>
      <c r="BH25" s="176">
        <f>SQRT(2*AY25-3)</f>
        <v>2.6457513110645907</v>
      </c>
      <c r="BI25" s="176">
        <f>2*(AY25-2)</f>
        <v>6</v>
      </c>
      <c r="BJ25" s="176">
        <f>3*(AY25-2)^2</f>
        <v>27</v>
      </c>
      <c r="BK25" s="176">
        <f>1/BI25</f>
        <v>0.16666666666666666</v>
      </c>
      <c r="BL25" s="202">
        <f>1/BJ25</f>
        <v>3.7037037037037035E-2</v>
      </c>
      <c r="BM25" s="202">
        <f>SQRT(BK25*(1-BL25))</f>
        <v>0.40061680838488767</v>
      </c>
      <c r="BN25" s="203">
        <f>0.5*(BE25-BF25)/(BG25-BH25)</f>
        <v>2.6993031053935173E-2</v>
      </c>
      <c r="BO25" s="203">
        <f>IF(AA25&lt;=AB25,BM25,BN25)</f>
        <v>0.40061680838488767</v>
      </c>
      <c r="BP25" s="204">
        <f>BD25-(1.96*BO25)</f>
        <v>-0.77452946050855875</v>
      </c>
      <c r="BQ25" s="204">
        <f>BD25+(1.96*BO25)</f>
        <v>0.79588842836020091</v>
      </c>
      <c r="BR25" s="204"/>
      <c r="BS25" s="201">
        <f>EXP(BP25)</f>
        <v>0.46092061133139867</v>
      </c>
      <c r="BT25" s="201">
        <f>EXP(BQ25)</f>
        <v>2.2164092431811149</v>
      </c>
      <c r="BU25" s="205">
        <f>BA25</f>
        <v>1.0622660698168614E-2</v>
      </c>
      <c r="BV25" s="205">
        <f>(BS25-1)/BS25</f>
        <v>-1.1695710181227004</v>
      </c>
      <c r="BW25" s="205">
        <f>(BT25-1)/BT25</f>
        <v>0.54881978448856139</v>
      </c>
    </row>
    <row r="26" spans="1:256" ht="13.5" thickBot="1">
      <c r="A26" s="122"/>
      <c r="B26" s="122"/>
      <c r="C26" s="382"/>
      <c r="D26" s="382"/>
      <c r="E26" s="382"/>
      <c r="F26" s="382"/>
      <c r="G26" s="382"/>
      <c r="H26" s="382"/>
      <c r="I26" s="80"/>
      <c r="J26" s="122"/>
      <c r="K26" s="122"/>
      <c r="L26" s="10"/>
      <c r="M26" s="10"/>
      <c r="N26" s="10"/>
      <c r="O26" s="10"/>
      <c r="P26" s="10"/>
      <c r="Q26" s="10"/>
      <c r="R26" s="206"/>
      <c r="S26" s="206"/>
      <c r="T26" s="206"/>
      <c r="U26" s="206"/>
      <c r="V26" s="206"/>
      <c r="W26" s="206"/>
      <c r="X26" s="206"/>
      <c r="Z26" s="10"/>
      <c r="AA26" s="10"/>
      <c r="AB26" s="207"/>
      <c r="AC26" s="208"/>
      <c r="AD26" s="209"/>
      <c r="AE26" s="208"/>
      <c r="AF26" s="210"/>
      <c r="AG26" s="210"/>
      <c r="AH26" s="210"/>
      <c r="AI26" s="2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211"/>
      <c r="AU26" s="211"/>
      <c r="AV26" s="211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212"/>
      <c r="BH26" s="10"/>
      <c r="BI26" s="10"/>
      <c r="BJ26" s="10"/>
      <c r="BK26" s="10"/>
      <c r="BN26" s="208" t="s">
        <v>203</v>
      </c>
      <c r="BT26" s="213" t="s">
        <v>204</v>
      </c>
      <c r="BU26" s="214">
        <f>BU25</f>
        <v>1.0622660698168614E-2</v>
      </c>
      <c r="BV26" s="215" t="str">
        <f>IF(BV25&lt;0,"0%",BV25)</f>
        <v>0%</v>
      </c>
      <c r="BW26" s="216">
        <f>IF(BW25&lt;0,"0%",BW25)</f>
        <v>0.54881978448856139</v>
      </c>
    </row>
    <row r="27" spans="1:256" ht="15.75" thickBot="1">
      <c r="A27" s="116"/>
      <c r="B27" s="116"/>
      <c r="C27" s="383"/>
      <c r="D27" s="383"/>
      <c r="E27" s="383"/>
      <c r="F27" s="383"/>
      <c r="G27" s="383"/>
      <c r="H27" s="383"/>
      <c r="I27" s="217"/>
      <c r="J27" s="116"/>
      <c r="K27" s="116"/>
      <c r="L27" s="116"/>
      <c r="M27" s="10"/>
      <c r="N27" s="10"/>
      <c r="O27" s="10"/>
      <c r="P27" s="10"/>
      <c r="Q27" s="10"/>
      <c r="R27" s="218"/>
      <c r="S27" s="218"/>
      <c r="T27" s="218"/>
      <c r="U27" s="218"/>
      <c r="V27" s="218"/>
      <c r="W27" s="218"/>
      <c r="X27" s="218"/>
      <c r="Z27" s="10"/>
      <c r="AA27" s="10"/>
      <c r="AB27" s="10"/>
      <c r="AC27" s="10"/>
      <c r="AD27" s="10"/>
      <c r="AE27" s="10"/>
      <c r="AF27" s="10"/>
      <c r="AG27" s="10"/>
      <c r="AH27" s="10"/>
      <c r="AI27" s="212"/>
      <c r="AJ27" s="26"/>
      <c r="AK27" s="26"/>
      <c r="AL27" s="219"/>
      <c r="AM27" s="220"/>
      <c r="AN27" s="221"/>
      <c r="AO27" s="222" t="s">
        <v>295</v>
      </c>
      <c r="AP27" s="223">
        <f>TINV(0.05,(AB25-2))</f>
        <v>3.1824463052837091</v>
      </c>
      <c r="AQ27" s="10"/>
      <c r="AR27" s="224"/>
      <c r="AS27" s="225" t="s">
        <v>205</v>
      </c>
      <c r="AT27" s="226">
        <f>EXP(AM25-AP27*SQRT((1/AD25)+AH25))</f>
        <v>0.7030078053207649</v>
      </c>
      <c r="AU27" s="227">
        <f>EXP(AM25+AP27*SQRT((1/AD25)+AH25))</f>
        <v>1.1094996502959846</v>
      </c>
      <c r="AV27" s="127"/>
      <c r="AW27" s="10"/>
      <c r="AX27" s="10"/>
      <c r="AY27" s="10"/>
      <c r="AZ27" s="10"/>
      <c r="BB27" s="10"/>
      <c r="BC27" s="10"/>
      <c r="BD27" s="10"/>
      <c r="BF27" s="228"/>
      <c r="BG27" s="212"/>
      <c r="BH27" s="212"/>
      <c r="BJ27" s="156"/>
      <c r="BK27" s="10"/>
      <c r="BL27" s="229"/>
      <c r="BM27" s="230"/>
      <c r="BN27" s="10"/>
      <c r="BQ27" s="229"/>
    </row>
    <row r="28" spans="1:256" ht="15">
      <c r="A28" s="231"/>
      <c r="B28" s="231"/>
      <c r="C28" s="384"/>
      <c r="D28" s="384"/>
      <c r="E28" s="384"/>
      <c r="F28" s="384"/>
      <c r="G28" s="384"/>
      <c r="H28" s="384"/>
      <c r="I28" s="217"/>
      <c r="J28" s="231"/>
      <c r="K28" s="231"/>
      <c r="L28" s="231"/>
      <c r="M28" s="10"/>
      <c r="N28" s="10"/>
      <c r="O28" s="10"/>
      <c r="P28" s="10"/>
      <c r="Q28" s="10"/>
      <c r="R28" s="218"/>
      <c r="S28" s="218"/>
      <c r="T28" s="218"/>
      <c r="U28" s="218"/>
      <c r="V28" s="218"/>
      <c r="W28" s="218"/>
      <c r="X28" s="218"/>
      <c r="Z28" s="10"/>
      <c r="AA28" s="10"/>
      <c r="AB28" s="10"/>
      <c r="AC28" s="10"/>
      <c r="AD28" s="10"/>
      <c r="AE28" s="10"/>
      <c r="AF28" s="10"/>
      <c r="AG28" s="10"/>
      <c r="AH28" s="10"/>
      <c r="AI28" s="212"/>
      <c r="AJ28" s="26"/>
      <c r="AK28" s="26"/>
      <c r="AL28" s="219"/>
      <c r="AM28" s="220"/>
      <c r="AN28" s="232"/>
      <c r="AO28" s="233"/>
      <c r="AP28" s="125"/>
      <c r="AQ28" s="10"/>
      <c r="AR28" s="10"/>
      <c r="AS28" s="234"/>
      <c r="AT28" s="127"/>
      <c r="AU28" s="127"/>
      <c r="AV28" s="127"/>
      <c r="AW28" s="10"/>
      <c r="AX28" s="10"/>
      <c r="AY28" s="10"/>
      <c r="AZ28" s="10"/>
      <c r="BA28" s="2"/>
      <c r="BB28" s="10"/>
      <c r="BC28" s="10"/>
      <c r="BD28" s="10"/>
      <c r="BE28" s="2"/>
      <c r="BF28" s="228"/>
      <c r="BG28" s="212"/>
      <c r="BH28" s="212"/>
      <c r="BI28" s="2"/>
      <c r="BJ28" s="156"/>
      <c r="BK28" s="10"/>
      <c r="BL28" s="3"/>
      <c r="BM28" s="235"/>
      <c r="BN28" s="10"/>
      <c r="BO28" s="2"/>
      <c r="BP28" s="2"/>
      <c r="BQ28" s="3"/>
      <c r="BR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>
      <c r="A29" s="122"/>
      <c r="B29" s="122"/>
      <c r="C29" s="382"/>
      <c r="D29" s="382"/>
      <c r="E29" s="382"/>
      <c r="F29" s="382"/>
      <c r="G29" s="382"/>
      <c r="H29" s="382"/>
      <c r="I29" s="80"/>
      <c r="J29" s="416" t="s">
        <v>176</v>
      </c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8"/>
      <c r="X29" s="123"/>
      <c r="Y29" s="419" t="s">
        <v>177</v>
      </c>
      <c r="Z29" s="420"/>
      <c r="AA29" s="420"/>
      <c r="AB29" s="420"/>
      <c r="AC29" s="420"/>
      <c r="AD29" s="420"/>
      <c r="AE29" s="420"/>
      <c r="AF29" s="420"/>
      <c r="AG29" s="420"/>
      <c r="AH29" s="420"/>
      <c r="AI29" s="420"/>
      <c r="AJ29" s="420"/>
      <c r="AK29" s="420"/>
      <c r="AL29" s="420"/>
      <c r="AM29" s="420"/>
      <c r="AN29" s="420"/>
      <c r="AO29" s="420"/>
      <c r="AP29" s="420"/>
      <c r="AQ29" s="420"/>
      <c r="AR29" s="420"/>
      <c r="AS29" s="420"/>
      <c r="AT29" s="420"/>
      <c r="AU29" s="421"/>
      <c r="AV29" s="123"/>
      <c r="AW29" s="416" t="s">
        <v>178</v>
      </c>
      <c r="AX29" s="417"/>
      <c r="AY29" s="417"/>
      <c r="AZ29" s="417"/>
      <c r="BA29" s="417"/>
      <c r="BB29" s="417"/>
      <c r="BC29" s="417"/>
      <c r="BD29" s="417"/>
      <c r="BE29" s="417"/>
      <c r="BF29" s="417"/>
      <c r="BG29" s="417"/>
      <c r="BH29" s="417"/>
      <c r="BI29" s="417"/>
      <c r="BJ29" s="417"/>
      <c r="BK29" s="417"/>
      <c r="BL29" s="417"/>
      <c r="BM29" s="417"/>
      <c r="BN29" s="417"/>
      <c r="BO29" s="417"/>
      <c r="BP29" s="417"/>
      <c r="BQ29" s="417"/>
      <c r="BR29" s="417"/>
      <c r="BS29" s="417"/>
      <c r="BT29" s="417"/>
      <c r="BU29" s="417"/>
      <c r="BV29" s="417"/>
      <c r="BW29" s="418"/>
    </row>
    <row r="30" spans="1:256">
      <c r="A30" s="124"/>
      <c r="B30" s="71" t="s">
        <v>155</v>
      </c>
      <c r="C30" s="415" t="s">
        <v>156</v>
      </c>
      <c r="D30" s="415"/>
      <c r="E30" s="415"/>
      <c r="F30" s="415" t="s">
        <v>157</v>
      </c>
      <c r="G30" s="415"/>
      <c r="H30" s="415"/>
      <c r="I30" s="125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126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126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ht="65.25">
      <c r="A31" s="122"/>
      <c r="B31" s="72" t="s">
        <v>45</v>
      </c>
      <c r="C31" s="380" t="s">
        <v>158</v>
      </c>
      <c r="D31" s="380" t="s">
        <v>159</v>
      </c>
      <c r="E31" s="380" t="s">
        <v>1</v>
      </c>
      <c r="F31" s="380" t="s">
        <v>158</v>
      </c>
      <c r="G31" s="380" t="s">
        <v>159</v>
      </c>
      <c r="H31" s="380" t="s">
        <v>1</v>
      </c>
      <c r="I31" s="127"/>
      <c r="K31" s="128" t="s">
        <v>266</v>
      </c>
      <c r="L31" s="128" t="s">
        <v>267</v>
      </c>
      <c r="M31" s="128" t="s">
        <v>268</v>
      </c>
      <c r="N31" s="129" t="s">
        <v>269</v>
      </c>
      <c r="O31" s="129" t="s">
        <v>179</v>
      </c>
      <c r="P31" s="129" t="s">
        <v>180</v>
      </c>
      <c r="Q31" s="130" t="s">
        <v>181</v>
      </c>
      <c r="R31" s="128" t="s">
        <v>182</v>
      </c>
      <c r="S31" s="131" t="s">
        <v>183</v>
      </c>
      <c r="T31" s="131" t="s">
        <v>184</v>
      </c>
      <c r="U31" s="131" t="s">
        <v>185</v>
      </c>
      <c r="V31" s="132" t="s">
        <v>161</v>
      </c>
      <c r="W31" s="133" t="s">
        <v>162</v>
      </c>
      <c r="X31" s="134"/>
      <c r="Y31" s="81"/>
      <c r="Z31" s="135" t="s">
        <v>186</v>
      </c>
      <c r="AA31" s="129" t="s">
        <v>270</v>
      </c>
      <c r="AB31" s="136" t="s">
        <v>187</v>
      </c>
      <c r="AC31" s="136" t="s">
        <v>188</v>
      </c>
      <c r="AD31" s="136" t="s">
        <v>271</v>
      </c>
      <c r="AE31" s="129" t="s">
        <v>272</v>
      </c>
      <c r="AF31" s="129" t="s">
        <v>273</v>
      </c>
      <c r="AG31" s="137" t="s">
        <v>274</v>
      </c>
      <c r="AH31" s="137" t="s">
        <v>275</v>
      </c>
      <c r="AI31" s="136" t="s">
        <v>276</v>
      </c>
      <c r="AJ31" s="129" t="s">
        <v>277</v>
      </c>
      <c r="AK31" s="129" t="s">
        <v>278</v>
      </c>
      <c r="AL31" s="129" t="s">
        <v>279</v>
      </c>
      <c r="AM31" s="136" t="s">
        <v>189</v>
      </c>
      <c r="AN31" s="138" t="s">
        <v>190</v>
      </c>
      <c r="AO31" s="129" t="s">
        <v>191</v>
      </c>
      <c r="AP31" s="129" t="s">
        <v>192</v>
      </c>
      <c r="AQ31" s="139" t="s">
        <v>183</v>
      </c>
      <c r="AR31" s="131" t="s">
        <v>193</v>
      </c>
      <c r="AS31" s="131" t="s">
        <v>194</v>
      </c>
      <c r="AT31" s="132" t="s">
        <v>161</v>
      </c>
      <c r="AU31" s="133" t="s">
        <v>162</v>
      </c>
      <c r="AV31" s="134"/>
      <c r="AX31" s="140" t="s">
        <v>195</v>
      </c>
      <c r="AY31" s="140" t="s">
        <v>187</v>
      </c>
      <c r="AZ31" s="141" t="s">
        <v>280</v>
      </c>
      <c r="BA31" s="142" t="s">
        <v>281</v>
      </c>
      <c r="BC31" s="136" t="s">
        <v>282</v>
      </c>
      <c r="BD31" s="136" t="s">
        <v>283</v>
      </c>
      <c r="BE31" s="136" t="s">
        <v>196</v>
      </c>
      <c r="BF31" s="136" t="s">
        <v>197</v>
      </c>
      <c r="BG31" s="136" t="s">
        <v>198</v>
      </c>
      <c r="BH31" s="136" t="s">
        <v>199</v>
      </c>
      <c r="BI31" s="136" t="s">
        <v>200</v>
      </c>
      <c r="BJ31" s="136" t="s">
        <v>284</v>
      </c>
      <c r="BK31" s="136" t="s">
        <v>201</v>
      </c>
      <c r="BL31" s="136" t="s">
        <v>202</v>
      </c>
      <c r="BM31" s="143" t="s">
        <v>285</v>
      </c>
      <c r="BN31" s="143" t="s">
        <v>286</v>
      </c>
      <c r="BO31" s="143" t="s">
        <v>287</v>
      </c>
      <c r="BP31" s="143" t="s">
        <v>288</v>
      </c>
      <c r="BQ31" s="143" t="s">
        <v>289</v>
      </c>
      <c r="BR31" s="144"/>
      <c r="BS31" s="131" t="s">
        <v>290</v>
      </c>
      <c r="BT31" s="131" t="s">
        <v>291</v>
      </c>
      <c r="BU31" s="130" t="s">
        <v>292</v>
      </c>
      <c r="BV31" s="132" t="s">
        <v>293</v>
      </c>
      <c r="BW31" s="133" t="s">
        <v>294</v>
      </c>
    </row>
    <row r="32" spans="1:256">
      <c r="A32" s="116"/>
      <c r="B32" s="145" t="s">
        <v>3</v>
      </c>
      <c r="C32" s="357">
        <v>186</v>
      </c>
      <c r="D32" s="277">
        <v>4942</v>
      </c>
      <c r="E32" s="358">
        <v>5128</v>
      </c>
      <c r="F32" s="357">
        <v>235</v>
      </c>
      <c r="G32" s="277">
        <v>4888</v>
      </c>
      <c r="H32" s="358">
        <v>5123</v>
      </c>
      <c r="I32" s="146"/>
      <c r="K32" s="147">
        <f>(C32/E32)/(F32/H32)</f>
        <v>0.79071762870514817</v>
      </c>
      <c r="L32" s="148">
        <f>(D32/(C32*E32)+(G32/(F32*H32)))</f>
        <v>9.2414573085476751E-3</v>
      </c>
      <c r="M32" s="149">
        <f>1/L32</f>
        <v>108.20804193674874</v>
      </c>
      <c r="N32" s="150">
        <f>LN(K32)</f>
        <v>-0.23481435509226145</v>
      </c>
      <c r="O32" s="150">
        <f>M32*N32</f>
        <v>-25.408801583174039</v>
      </c>
      <c r="P32" s="150">
        <f>LN(K32)</f>
        <v>-0.23481435509226145</v>
      </c>
      <c r="Q32" s="236">
        <f>K32</f>
        <v>0.79071762870514817</v>
      </c>
      <c r="R32" s="151">
        <f>SQRT(1/M32)</f>
        <v>9.6132498711661893E-2</v>
      </c>
      <c r="S32" s="152">
        <f>-NORMSINV(2.5/100)</f>
        <v>1.9599639845400538</v>
      </c>
      <c r="T32" s="153">
        <f>P32-(R32*S32)</f>
        <v>-0.42323059031096188</v>
      </c>
      <c r="U32" s="153">
        <f>P32+(R32*S32)</f>
        <v>-4.6398119873561017E-2</v>
      </c>
      <c r="V32" s="154">
        <f>EXP(T32)</f>
        <v>0.65492759574063897</v>
      </c>
      <c r="W32" s="155">
        <f>EXP(U32)</f>
        <v>0.9546618166822437</v>
      </c>
      <c r="X32" s="156"/>
      <c r="Z32" s="157">
        <f>(N32-P37)^2</f>
        <v>3.3742592266858868E-3</v>
      </c>
      <c r="AA32" s="158">
        <f>M32*Z32</f>
        <v>0.36512198390668782</v>
      </c>
      <c r="AB32" s="159">
        <v>1</v>
      </c>
      <c r="AC32" s="144"/>
      <c r="AD32" s="144"/>
      <c r="AE32" s="149">
        <f>M32^2</f>
        <v>11708.980339785174</v>
      </c>
      <c r="AF32" s="160"/>
      <c r="AG32" s="161">
        <f>AG37</f>
        <v>2.8802701353144665E-3</v>
      </c>
      <c r="AH32" s="161">
        <f>AH37</f>
        <v>2.8802701353144665E-3</v>
      </c>
      <c r="AI32" s="158">
        <f>1/M32</f>
        <v>9.2414573085476751E-3</v>
      </c>
      <c r="AJ32" s="162">
        <f>1/(AH32+AI32)</f>
        <v>82.496492734321606</v>
      </c>
      <c r="AK32" s="163">
        <f>AJ32/AJ37</f>
        <v>0.26489015514791203</v>
      </c>
      <c r="AL32" s="164">
        <f>AJ32*N32</f>
        <v>-19.37136073878316</v>
      </c>
      <c r="AM32" s="165">
        <f>AL32/AJ32</f>
        <v>-0.23481435509226145</v>
      </c>
      <c r="AN32" s="155">
        <f>EXP(AM32)</f>
        <v>0.79071762870514817</v>
      </c>
      <c r="AO32" s="166">
        <f>1/AJ32</f>
        <v>1.2121727443862142E-2</v>
      </c>
      <c r="AP32" s="155">
        <f>SQRT(AO32)</f>
        <v>0.11009871681296809</v>
      </c>
      <c r="AQ32" s="167">
        <f>-NORMSINV(2.5/100)</f>
        <v>1.9599639845400538</v>
      </c>
      <c r="AR32" s="153">
        <f>AM32-(AQ32*AP32)</f>
        <v>-0.45060387478975339</v>
      </c>
      <c r="AS32" s="153">
        <f>AM32+(1.96*AP32)</f>
        <v>-1.9020870138843987E-2</v>
      </c>
      <c r="AT32" s="168">
        <f>EXP(AR32)</f>
        <v>0.63724322029263214</v>
      </c>
      <c r="AU32" s="168">
        <f>EXP(AS32)</f>
        <v>0.98115888510696625</v>
      </c>
      <c r="AV32" s="127"/>
      <c r="AX32" s="169"/>
      <c r="AY32" s="169">
        <v>1</v>
      </c>
      <c r="AZ32" s="170"/>
      <c r="BA32" s="170"/>
      <c r="BC32" s="144"/>
      <c r="BD32" s="144"/>
      <c r="BE32" s="159"/>
      <c r="BF32" s="159"/>
      <c r="BG32" s="159"/>
      <c r="BH32" s="159"/>
      <c r="BI32" s="159"/>
      <c r="BJ32" s="159"/>
      <c r="BK32" s="159"/>
      <c r="BL32" s="159"/>
      <c r="BM32" s="144"/>
      <c r="BN32" s="144"/>
      <c r="BO32" s="144"/>
      <c r="BP32" s="144"/>
      <c r="BQ32" s="144"/>
      <c r="BR32" s="144"/>
      <c r="BS32" s="171"/>
      <c r="BT32" s="171"/>
      <c r="BU32" s="171"/>
      <c r="BV32" s="144"/>
      <c r="BW32" s="144"/>
    </row>
    <row r="33" spans="1:256">
      <c r="A33" s="116"/>
      <c r="B33" s="145" t="s">
        <v>4</v>
      </c>
      <c r="C33" s="357">
        <v>153</v>
      </c>
      <c r="D33" s="277">
        <v>5418</v>
      </c>
      <c r="E33" s="358">
        <v>5571</v>
      </c>
      <c r="F33" s="357">
        <v>156</v>
      </c>
      <c r="G33" s="277">
        <v>5413</v>
      </c>
      <c r="H33" s="358">
        <v>5569</v>
      </c>
      <c r="I33" s="146"/>
      <c r="K33" s="147">
        <f t="shared" ref="K33:K36" si="52">(C33/E33)/(F33/H33)</f>
        <v>0.980417132678845</v>
      </c>
      <c r="L33" s="148">
        <f t="shared" ref="L33:L36" si="53">(D33/(C33*E33)+(G33/(F33*H33)))</f>
        <v>1.258713768381217E-2</v>
      </c>
      <c r="M33" s="149">
        <f t="shared" ref="M33:M36" si="54">1/L33</f>
        <v>79.446179514351485</v>
      </c>
      <c r="N33" s="150">
        <f t="shared" ref="N33:N36" si="55">LN(K33)</f>
        <v>-1.9777152288248577E-2</v>
      </c>
      <c r="O33" s="150">
        <f t="shared" ref="O33:O36" si="56">M33*N33</f>
        <v>-1.5712191909748636</v>
      </c>
      <c r="P33" s="150">
        <f t="shared" ref="P33:P36" si="57">LN(K33)</f>
        <v>-1.9777152288248577E-2</v>
      </c>
      <c r="Q33" s="236">
        <f t="shared" ref="Q33:Q36" si="58">K33</f>
        <v>0.980417132678845</v>
      </c>
      <c r="R33" s="151">
        <f t="shared" ref="R33:R36" si="59">SQRT(1/M33)</f>
        <v>0.11219241366425882</v>
      </c>
      <c r="S33" s="152">
        <f t="shared" ref="S33:S36" si="60">-NORMSINV(2.5/100)</f>
        <v>1.9599639845400538</v>
      </c>
      <c r="T33" s="153">
        <f t="shared" ref="T33:T36" si="61">P33-(R33*S33)</f>
        <v>-0.23967024240881529</v>
      </c>
      <c r="U33" s="153">
        <f t="shared" ref="U33:U36" si="62">P33+(R33*S33)</f>
        <v>0.20011593783231812</v>
      </c>
      <c r="V33" s="154">
        <f t="shared" ref="V33:W36" si="63">EXP(T33)</f>
        <v>0.78688730034886289</v>
      </c>
      <c r="W33" s="155">
        <f t="shared" si="63"/>
        <v>1.2215443731574476</v>
      </c>
      <c r="X33" s="156"/>
      <c r="Z33" s="157">
        <f>(N33-P37)^2</f>
        <v>2.4632934774539823E-2</v>
      </c>
      <c r="AA33" s="158">
        <f t="shared" ref="AA33:AA36" si="64">M33*Z33</f>
        <v>1.956992558063402</v>
      </c>
      <c r="AB33" s="159">
        <v>1</v>
      </c>
      <c r="AC33" s="144"/>
      <c r="AD33" s="144"/>
      <c r="AE33" s="149">
        <f t="shared" ref="AE33:AE36" si="65">M33^2</f>
        <v>6311.6954394265613</v>
      </c>
      <c r="AF33" s="160"/>
      <c r="AG33" s="161">
        <f>AG37</f>
        <v>2.8802701353144665E-3</v>
      </c>
      <c r="AH33" s="161">
        <f>AH37</f>
        <v>2.8802701353144665E-3</v>
      </c>
      <c r="AI33" s="158">
        <f t="shared" ref="AI33:AI36" si="66">1/M33</f>
        <v>1.258713768381217E-2</v>
      </c>
      <c r="AJ33" s="162">
        <f t="shared" ref="AJ33:AJ36" si="67">1/(AH33+AI33)</f>
        <v>64.652074329056177</v>
      </c>
      <c r="AK33" s="163">
        <f>AJ33/AJ37</f>
        <v>0.20759304343774976</v>
      </c>
      <c r="AL33" s="164">
        <f t="shared" ref="AL33:AL36" si="68">AJ33*N33</f>
        <v>-1.2786339197569105</v>
      </c>
      <c r="AM33" s="165">
        <f t="shared" ref="AM33:AM36" si="69">AL33/AJ33</f>
        <v>-1.9777152288248577E-2</v>
      </c>
      <c r="AN33" s="155">
        <f t="shared" ref="AN33:AN36" si="70">EXP(AM33)</f>
        <v>0.980417132678845</v>
      </c>
      <c r="AO33" s="166">
        <f t="shared" ref="AO33:AO36" si="71">1/AJ33</f>
        <v>1.5467407819126637E-2</v>
      </c>
      <c r="AP33" s="155">
        <f t="shared" ref="AP33:AP36" si="72">SQRT(AO33)</f>
        <v>0.1243680337511478</v>
      </c>
      <c r="AQ33" s="167">
        <f t="shared" ref="AQ33:AQ36" si="73">-NORMSINV(2.5/100)</f>
        <v>1.9599639845400538</v>
      </c>
      <c r="AR33" s="153">
        <f t="shared" ref="AR33:AR36" si="74">AM33-(AQ33*AP33)</f>
        <v>-0.26353401926856013</v>
      </c>
      <c r="AS33" s="153">
        <f t="shared" ref="AS33:AS36" si="75">AM33+(1.96*AP33)</f>
        <v>0.22398419386400109</v>
      </c>
      <c r="AT33" s="168">
        <f t="shared" ref="AT33:AU36" si="76">EXP(AR33)</f>
        <v>0.76833148391952966</v>
      </c>
      <c r="AU33" s="168">
        <f t="shared" si="76"/>
        <v>1.2510512449859641</v>
      </c>
      <c r="AV33" s="127"/>
      <c r="AX33" s="169"/>
      <c r="AY33" s="169">
        <v>1</v>
      </c>
      <c r="AZ33" s="170"/>
      <c r="BA33" s="170"/>
      <c r="BC33" s="144"/>
      <c r="BD33" s="144"/>
      <c r="BE33" s="159"/>
      <c r="BF33" s="159"/>
      <c r="BG33" s="159"/>
      <c r="BH33" s="159"/>
      <c r="BI33" s="159"/>
      <c r="BJ33" s="159"/>
      <c r="BK33" s="159"/>
      <c r="BL33" s="159"/>
      <c r="BM33" s="144"/>
      <c r="BN33" s="144"/>
      <c r="BO33" s="144"/>
      <c r="BP33" s="144"/>
      <c r="BQ33" s="144"/>
      <c r="BR33" s="144"/>
      <c r="BS33" s="171"/>
      <c r="BT33" s="171"/>
      <c r="BU33" s="171"/>
      <c r="BV33" s="144"/>
      <c r="BW33" s="144"/>
    </row>
    <row r="34" spans="1:256">
      <c r="A34" s="116"/>
      <c r="B34" s="145" t="s">
        <v>259</v>
      </c>
      <c r="C34" s="357">
        <v>119</v>
      </c>
      <c r="D34" s="277">
        <v>2486</v>
      </c>
      <c r="E34" s="358">
        <v>2605</v>
      </c>
      <c r="F34" s="357">
        <v>144</v>
      </c>
      <c r="G34" s="277">
        <v>2489</v>
      </c>
      <c r="H34" s="358">
        <v>2633</v>
      </c>
      <c r="I34" s="146"/>
      <c r="K34" s="147">
        <f t="shared" si="52"/>
        <v>0.83527137982512256</v>
      </c>
      <c r="L34" s="148">
        <f t="shared" si="53"/>
        <v>1.4584133718925044E-2</v>
      </c>
      <c r="M34" s="149">
        <f t="shared" si="54"/>
        <v>68.5676653322476</v>
      </c>
      <c r="N34" s="150">
        <f t="shared" si="55"/>
        <v>-0.17999860115562921</v>
      </c>
      <c r="O34" s="150">
        <f t="shared" si="56"/>
        <v>-12.342083844311899</v>
      </c>
      <c r="P34" s="150">
        <f t="shared" si="57"/>
        <v>-0.17999860115562921</v>
      </c>
      <c r="Q34" s="236">
        <f t="shared" si="58"/>
        <v>0.83527137982512256</v>
      </c>
      <c r="R34" s="151">
        <f t="shared" si="59"/>
        <v>0.1207647867506296</v>
      </c>
      <c r="S34" s="152">
        <f t="shared" si="60"/>
        <v>1.9599639845400538</v>
      </c>
      <c r="T34" s="153">
        <f t="shared" si="61"/>
        <v>-0.4166932337875231</v>
      </c>
      <c r="U34" s="153">
        <f t="shared" si="62"/>
        <v>5.6696031476264674E-2</v>
      </c>
      <c r="V34" s="154">
        <f t="shared" si="63"/>
        <v>0.65922311630759567</v>
      </c>
      <c r="W34" s="155">
        <f t="shared" si="63"/>
        <v>1.0583340612549534</v>
      </c>
      <c r="X34" s="156"/>
      <c r="Z34" s="157">
        <f>(N34-P129)^2</f>
        <v>3.239949641798328E-2</v>
      </c>
      <c r="AA34" s="158">
        <f t="shared" si="64"/>
        <v>2.2215578273216323</v>
      </c>
      <c r="AB34" s="159">
        <v>1</v>
      </c>
      <c r="AC34" s="144"/>
      <c r="AD34" s="144"/>
      <c r="AE34" s="149">
        <f t="shared" si="65"/>
        <v>4701.524729115109</v>
      </c>
      <c r="AF34" s="160"/>
      <c r="AG34" s="161">
        <f>AG37</f>
        <v>2.8802701353144665E-3</v>
      </c>
      <c r="AH34" s="161">
        <f>AH37</f>
        <v>2.8802701353144665E-3</v>
      </c>
      <c r="AI34" s="158">
        <f t="shared" si="66"/>
        <v>1.4584133718925044E-2</v>
      </c>
      <c r="AJ34" s="162">
        <f t="shared" si="67"/>
        <v>57.259326361560781</v>
      </c>
      <c r="AK34" s="163">
        <f>AJ34/AJ37</f>
        <v>0.18385547483121728</v>
      </c>
      <c r="AL34" s="164">
        <f t="shared" si="68"/>
        <v>-10.306598648194585</v>
      </c>
      <c r="AM34" s="165">
        <f t="shared" si="69"/>
        <v>-0.17999860115562921</v>
      </c>
      <c r="AN34" s="155">
        <f t="shared" si="70"/>
        <v>0.83527137982512256</v>
      </c>
      <c r="AO34" s="166">
        <f t="shared" si="71"/>
        <v>1.7464403854239509E-2</v>
      </c>
      <c r="AP34" s="155">
        <f t="shared" si="72"/>
        <v>0.13215295628263299</v>
      </c>
      <c r="AQ34" s="167">
        <f t="shared" si="73"/>
        <v>1.9599639845400538</v>
      </c>
      <c r="AR34" s="153">
        <f t="shared" si="74"/>
        <v>-0.43901363592008613</v>
      </c>
      <c r="AS34" s="153">
        <f t="shared" si="75"/>
        <v>7.9021193158331449E-2</v>
      </c>
      <c r="AT34" s="168">
        <f t="shared" si="76"/>
        <v>0.64467198887414434</v>
      </c>
      <c r="AU34" s="168">
        <f t="shared" si="76"/>
        <v>1.0822272576408971</v>
      </c>
      <c r="AV34" s="127"/>
      <c r="AX34" s="169"/>
      <c r="AY34" s="169">
        <v>1</v>
      </c>
      <c r="AZ34" s="170"/>
      <c r="BA34" s="170"/>
      <c r="BC34" s="144"/>
      <c r="BD34" s="144"/>
      <c r="BE34" s="159"/>
      <c r="BF34" s="159"/>
      <c r="BG34" s="159"/>
      <c r="BH34" s="159"/>
      <c r="BI34" s="159"/>
      <c r="BJ34" s="159"/>
      <c r="BK34" s="159"/>
      <c r="BL34" s="159"/>
      <c r="BM34" s="144"/>
      <c r="BN34" s="144"/>
      <c r="BO34" s="144"/>
      <c r="BP34" s="144"/>
      <c r="BQ34" s="144"/>
      <c r="BR34" s="144"/>
      <c r="BS34" s="171"/>
      <c r="BT34" s="171"/>
      <c r="BU34" s="171"/>
      <c r="BV34" s="144"/>
      <c r="BW34" s="144"/>
    </row>
    <row r="35" spans="1:256">
      <c r="A35" s="116"/>
      <c r="B35" s="145" t="s">
        <v>5</v>
      </c>
      <c r="C35" s="357">
        <v>221</v>
      </c>
      <c r="D35" s="277">
        <v>2850</v>
      </c>
      <c r="E35" s="358">
        <v>3071</v>
      </c>
      <c r="F35" s="357">
        <v>141</v>
      </c>
      <c r="G35" s="277">
        <v>1408</v>
      </c>
      <c r="H35" s="358">
        <v>1549</v>
      </c>
      <c r="I35" s="146"/>
      <c r="K35" s="147">
        <f t="shared" si="52"/>
        <v>0.7905780684555358</v>
      </c>
      <c r="L35" s="148">
        <f t="shared" si="53"/>
        <v>1.0645880835613459E-2</v>
      </c>
      <c r="M35" s="149">
        <f t="shared" si="54"/>
        <v>93.933044662187029</v>
      </c>
      <c r="N35" s="150">
        <f t="shared" si="55"/>
        <v>-0.23499086888436915</v>
      </c>
      <c r="O35" s="150">
        <f t="shared" si="56"/>
        <v>-22.073407782121585</v>
      </c>
      <c r="P35" s="150">
        <f t="shared" si="57"/>
        <v>-0.23499086888436915</v>
      </c>
      <c r="Q35" s="236">
        <f t="shared" si="58"/>
        <v>0.7905780684555358</v>
      </c>
      <c r="R35" s="151">
        <f t="shared" si="59"/>
        <v>0.10317887785595198</v>
      </c>
      <c r="S35" s="152">
        <f t="shared" si="60"/>
        <v>1.9599639845400538</v>
      </c>
      <c r="T35" s="153">
        <f t="shared" si="61"/>
        <v>-0.4372177534472923</v>
      </c>
      <c r="U35" s="153">
        <f t="shared" si="62"/>
        <v>-3.2763984321445977E-2</v>
      </c>
      <c r="V35" s="154">
        <f t="shared" si="63"/>
        <v>0.64583078421834372</v>
      </c>
      <c r="W35" s="155">
        <f t="shared" si="63"/>
        <v>0.96776694080841474</v>
      </c>
      <c r="X35" s="156"/>
      <c r="Z35" s="157">
        <f>(N35-P37)^2</f>
        <v>3.3947971822483446E-3</v>
      </c>
      <c r="AA35" s="158">
        <f t="shared" si="64"/>
        <v>0.31888363533920044</v>
      </c>
      <c r="AB35" s="159">
        <v>1</v>
      </c>
      <c r="AC35" s="144"/>
      <c r="AD35" s="144"/>
      <c r="AE35" s="149">
        <f t="shared" si="65"/>
        <v>8823.4168795084224</v>
      </c>
      <c r="AF35" s="160"/>
      <c r="AG35" s="161">
        <f>AG37</f>
        <v>2.8802701353144665E-3</v>
      </c>
      <c r="AH35" s="161">
        <f>AH37</f>
        <v>2.8802701353144665E-3</v>
      </c>
      <c r="AI35" s="158">
        <f t="shared" si="66"/>
        <v>1.0645880835613459E-2</v>
      </c>
      <c r="AJ35" s="162">
        <f t="shared" si="67"/>
        <v>73.930861939166846</v>
      </c>
      <c r="AK35" s="163">
        <f>AJ35/AJ37</f>
        <v>0.2373865462663152</v>
      </c>
      <c r="AL35" s="164">
        <f t="shared" si="68"/>
        <v>-17.373077484455155</v>
      </c>
      <c r="AM35" s="165">
        <f t="shared" si="69"/>
        <v>-0.23499086888436918</v>
      </c>
      <c r="AN35" s="155">
        <f t="shared" si="70"/>
        <v>0.7905780684555358</v>
      </c>
      <c r="AO35" s="166">
        <f t="shared" si="71"/>
        <v>1.3526150970927926E-2</v>
      </c>
      <c r="AP35" s="155">
        <f t="shared" si="72"/>
        <v>0.11630198180137742</v>
      </c>
      <c r="AQ35" s="167">
        <f t="shared" si="73"/>
        <v>1.9599639845400538</v>
      </c>
      <c r="AR35" s="153">
        <f t="shared" si="74"/>
        <v>-0.4629385645457017</v>
      </c>
      <c r="AS35" s="153">
        <f t="shared" si="75"/>
        <v>-7.0389845536694418E-3</v>
      </c>
      <c r="AT35" s="168">
        <f t="shared" si="76"/>
        <v>0.62943130071826037</v>
      </c>
      <c r="AU35" s="168">
        <f t="shared" si="76"/>
        <v>0.99298573107313171</v>
      </c>
      <c r="AV35" s="127"/>
      <c r="AX35" s="169"/>
      <c r="AY35" s="169">
        <v>1</v>
      </c>
      <c r="AZ35" s="170"/>
      <c r="BA35" s="170"/>
      <c r="BC35" s="144"/>
      <c r="BD35" s="144"/>
      <c r="BE35" s="159"/>
      <c r="BF35" s="159"/>
      <c r="BG35" s="159"/>
      <c r="BH35" s="159"/>
      <c r="BI35" s="159"/>
      <c r="BJ35" s="159"/>
      <c r="BK35" s="159"/>
      <c r="BL35" s="159"/>
      <c r="BM35" s="144"/>
      <c r="BN35" s="144"/>
      <c r="BO35" s="144"/>
      <c r="BP35" s="144"/>
      <c r="BQ35" s="144"/>
      <c r="BR35" s="144"/>
      <c r="BS35" s="171"/>
      <c r="BT35" s="171"/>
      <c r="BU35" s="171"/>
      <c r="BV35" s="144"/>
      <c r="BW35" s="144"/>
    </row>
    <row r="36" spans="1:256">
      <c r="A36" s="116"/>
      <c r="B36" s="145" t="s">
        <v>6</v>
      </c>
      <c r="C36" s="357">
        <v>64</v>
      </c>
      <c r="D36" s="277">
        <v>892</v>
      </c>
      <c r="E36" s="358">
        <v>892</v>
      </c>
      <c r="F36" s="357">
        <v>78</v>
      </c>
      <c r="G36" s="277">
        <v>821</v>
      </c>
      <c r="H36" s="358">
        <v>899</v>
      </c>
      <c r="I36" s="146"/>
      <c r="K36" s="147">
        <f t="shared" si="52"/>
        <v>0.82695182246751753</v>
      </c>
      <c r="L36" s="148">
        <f t="shared" si="53"/>
        <v>2.7333165768232508E-2</v>
      </c>
      <c r="M36" s="149">
        <f t="shared" si="54"/>
        <v>36.585590139076842</v>
      </c>
      <c r="N36" s="150">
        <f t="shared" si="55"/>
        <v>-0.19000884143830898</v>
      </c>
      <c r="O36" s="150">
        <f t="shared" si="56"/>
        <v>-6.9515855956628121</v>
      </c>
      <c r="P36" s="150">
        <f t="shared" si="57"/>
        <v>-0.19000884143830898</v>
      </c>
      <c r="Q36" s="236">
        <f t="shared" si="58"/>
        <v>0.82695182246751753</v>
      </c>
      <c r="R36" s="151">
        <f t="shared" si="59"/>
        <v>0.16532745013527703</v>
      </c>
      <c r="S36" s="152">
        <f t="shared" si="60"/>
        <v>1.9599639845400538</v>
      </c>
      <c r="T36" s="153">
        <f t="shared" si="61"/>
        <v>-0.51404468935929359</v>
      </c>
      <c r="U36" s="153">
        <f t="shared" si="62"/>
        <v>0.13402700648267563</v>
      </c>
      <c r="V36" s="154">
        <f t="shared" si="63"/>
        <v>0.59807166602597006</v>
      </c>
      <c r="W36" s="155">
        <f t="shared" si="63"/>
        <v>1.1434236990799926</v>
      </c>
      <c r="X36" s="156"/>
      <c r="Z36" s="157">
        <f>(N36-P37)^2</f>
        <v>1.7643438645502699E-4</v>
      </c>
      <c r="AA36" s="158">
        <f t="shared" si="64"/>
        <v>6.454956149283108E-3</v>
      </c>
      <c r="AB36" s="159">
        <v>1</v>
      </c>
      <c r="AC36" s="144"/>
      <c r="AD36" s="144"/>
      <c r="AE36" s="149">
        <f t="shared" si="65"/>
        <v>1338.5054058245166</v>
      </c>
      <c r="AF36" s="160"/>
      <c r="AG36" s="161">
        <f>AG37</f>
        <v>2.8802701353144665E-3</v>
      </c>
      <c r="AH36" s="161">
        <f>AH37</f>
        <v>2.8802701353144665E-3</v>
      </c>
      <c r="AI36" s="158">
        <f t="shared" si="66"/>
        <v>2.7333165768232508E-2</v>
      </c>
      <c r="AJ36" s="162">
        <f t="shared" si="67"/>
        <v>33.097857628387203</v>
      </c>
      <c r="AK36" s="163">
        <f>AJ36/AJ37</f>
        <v>0.10627478031680575</v>
      </c>
      <c r="AL36" s="164">
        <f t="shared" si="68"/>
        <v>-6.2888855820599492</v>
      </c>
      <c r="AM36" s="165">
        <f t="shared" si="69"/>
        <v>-0.19000884143830898</v>
      </c>
      <c r="AN36" s="155">
        <f t="shared" si="70"/>
        <v>0.82695182246751753</v>
      </c>
      <c r="AO36" s="166">
        <f t="shared" si="71"/>
        <v>3.0213435903546974E-2</v>
      </c>
      <c r="AP36" s="155">
        <f t="shared" si="72"/>
        <v>0.17382012513960221</v>
      </c>
      <c r="AQ36" s="167">
        <f t="shared" si="73"/>
        <v>1.9599639845400538</v>
      </c>
      <c r="AR36" s="153">
        <f t="shared" si="74"/>
        <v>-0.53069002650017449</v>
      </c>
      <c r="AS36" s="153">
        <f t="shared" si="75"/>
        <v>0.15067860383531134</v>
      </c>
      <c r="AT36" s="168">
        <f t="shared" si="76"/>
        <v>0.58819895674709355</v>
      </c>
      <c r="AU36" s="168">
        <f t="shared" si="76"/>
        <v>1.16262293547609</v>
      </c>
      <c r="AV36" s="127"/>
      <c r="AX36" s="169"/>
      <c r="AY36" s="169">
        <v>1</v>
      </c>
      <c r="AZ36" s="170"/>
      <c r="BA36" s="170"/>
      <c r="BC36" s="144"/>
      <c r="BD36" s="144"/>
      <c r="BE36" s="159"/>
      <c r="BF36" s="159"/>
      <c r="BG36" s="159"/>
      <c r="BH36" s="159"/>
      <c r="BI36" s="159"/>
      <c r="BJ36" s="159"/>
      <c r="BK36" s="159"/>
      <c r="BL36" s="159"/>
      <c r="BM36" s="144"/>
      <c r="BN36" s="144"/>
      <c r="BO36" s="144"/>
      <c r="BP36" s="144"/>
      <c r="BQ36" s="144"/>
      <c r="BR36" s="144"/>
      <c r="BS36" s="171"/>
      <c r="BT36" s="171"/>
      <c r="BU36" s="171"/>
      <c r="BV36" s="144"/>
      <c r="BW36" s="144"/>
    </row>
    <row r="37" spans="1:256">
      <c r="A37" s="116"/>
      <c r="B37" s="77">
        <f>COUNT(C32:C36)</f>
        <v>5</v>
      </c>
      <c r="C37" s="359">
        <f>SUM(C32:C36)</f>
        <v>743</v>
      </c>
      <c r="D37" s="359">
        <f>SUM(D32:D36)</f>
        <v>16588</v>
      </c>
      <c r="E37" s="359">
        <f>SUM(E32:E36)</f>
        <v>17267</v>
      </c>
      <c r="F37" s="359">
        <f>SUM(F32:F36)</f>
        <v>754</v>
      </c>
      <c r="G37" s="359">
        <f>SUM(G32:G36)</f>
        <v>15019</v>
      </c>
      <c r="H37" s="359">
        <f>SUM(H32:H36)</f>
        <v>15773</v>
      </c>
      <c r="I37" s="82"/>
      <c r="K37" s="172"/>
      <c r="L37" s="173"/>
      <c r="M37" s="174">
        <f>SUM(M32:M36)</f>
        <v>386.74052158461171</v>
      </c>
      <c r="N37" s="175"/>
      <c r="O37" s="176">
        <f>SUM(O32:O36)</f>
        <v>-68.347097996245196</v>
      </c>
      <c r="P37" s="177">
        <f>O37/M37</f>
        <v>-0.17672598081060431</v>
      </c>
      <c r="Q37" s="178">
        <f>EXP(P37)</f>
        <v>0.83800938371629674</v>
      </c>
      <c r="R37" s="78">
        <f>SQRT(1/M37)</f>
        <v>5.0849906733142644E-2</v>
      </c>
      <c r="S37" s="152">
        <f>-NORMSINV(2.5/100)</f>
        <v>1.9599639845400538</v>
      </c>
      <c r="T37" s="179">
        <f>P37-(R37*S37)</f>
        <v>-0.27638996662478466</v>
      </c>
      <c r="U37" s="179">
        <f>P37+(R37*S37)</f>
        <v>-7.7061994996423938E-2</v>
      </c>
      <c r="V37" s="180">
        <f>EXP(T37)</f>
        <v>0.75851707673413704</v>
      </c>
      <c r="W37" s="181">
        <f>EXP(U37)</f>
        <v>0.92583245484756838</v>
      </c>
      <c r="X37" s="182"/>
      <c r="Y37" s="182"/>
      <c r="Z37" s="183"/>
      <c r="AA37" s="184">
        <f>SUM(AA32:AA36)</f>
        <v>4.869010960780205</v>
      </c>
      <c r="AB37" s="185">
        <f>SUM(AB32:AB36)</f>
        <v>5</v>
      </c>
      <c r="AC37" s="186">
        <f>AA37-(AB37-1)</f>
        <v>0.86901096078020501</v>
      </c>
      <c r="AD37" s="174">
        <f>M37</f>
        <v>386.74052158461171</v>
      </c>
      <c r="AE37" s="174">
        <f>SUM(AE32:AE36)</f>
        <v>32884.122793659786</v>
      </c>
      <c r="AF37" s="187">
        <f>AE37/AD37</f>
        <v>85.028904286838085</v>
      </c>
      <c r="AG37" s="188">
        <f>AC37/(AD37-AF37)</f>
        <v>2.8802701353144665E-3</v>
      </c>
      <c r="AH37" s="188">
        <f>IF(AA37&lt;AB37-1,"0",AG37)</f>
        <v>2.8802701353144665E-3</v>
      </c>
      <c r="AI37" s="183"/>
      <c r="AJ37" s="174">
        <f>SUM(AJ32:AJ36)</f>
        <v>311.4366129924926</v>
      </c>
      <c r="AK37" s="189">
        <f>SUM(AK32:AK36)</f>
        <v>0.99999999999999989</v>
      </c>
      <c r="AL37" s="186">
        <f>SUM(AL32:AL36)</f>
        <v>-54.61855637324976</v>
      </c>
      <c r="AM37" s="186">
        <f>AL37/AJ37</f>
        <v>-0.1753761571205065</v>
      </c>
      <c r="AN37" s="190">
        <f>EXP(AM37)</f>
        <v>0.83914131241518108</v>
      </c>
      <c r="AO37" s="191">
        <f>1/AJ37</f>
        <v>3.210926263265346E-3</v>
      </c>
      <c r="AP37" s="192">
        <f>SQRT(AO37)</f>
        <v>5.6665035632789872E-2</v>
      </c>
      <c r="AQ37" s="193">
        <f>-NORMSINV(2.5/100)</f>
        <v>1.9599639845400538</v>
      </c>
      <c r="AR37" s="179">
        <f>AM37-(AQ37*AP37)</f>
        <v>-0.28643758614345349</v>
      </c>
      <c r="AS37" s="179">
        <f>AM37+(1.96*AP37)</f>
        <v>-6.4312687280238354E-2</v>
      </c>
      <c r="AT37" s="194">
        <f>EXP(AR37)</f>
        <v>0.75093394575205907</v>
      </c>
      <c r="AU37" s="195">
        <f>EXP(AS37)</f>
        <v>0.93771174314973571</v>
      </c>
      <c r="AV37" s="196"/>
      <c r="AW37" s="20"/>
      <c r="AX37" s="197">
        <f>AA37</f>
        <v>4.869010960780205</v>
      </c>
      <c r="AY37" s="77">
        <f>SUM(AY32:AY36)</f>
        <v>5</v>
      </c>
      <c r="AZ37" s="198">
        <f>(AX37-(AY37-1))/AX37</f>
        <v>0.17847792247338784</v>
      </c>
      <c r="BA37" s="199">
        <f>IF(AA37&lt;AB37-1,"0%",AZ37)</f>
        <v>0.17847792247338784</v>
      </c>
      <c r="BB37" s="200"/>
      <c r="BC37" s="176">
        <f>AX37/(AY37-1)</f>
        <v>1.2172527401950513</v>
      </c>
      <c r="BD37" s="201">
        <f>LN(BC37)</f>
        <v>0.19659646721393836</v>
      </c>
      <c r="BE37" s="176">
        <f>LN(AX37)</f>
        <v>1.582890828333829</v>
      </c>
      <c r="BF37" s="176">
        <f>LN(AY37-1)</f>
        <v>1.3862943611198906</v>
      </c>
      <c r="BG37" s="176">
        <f>SQRT(2*AX37)</f>
        <v>3.1205803821661782</v>
      </c>
      <c r="BH37" s="176">
        <f>SQRT(2*AY37-3)</f>
        <v>2.6457513110645907</v>
      </c>
      <c r="BI37" s="176">
        <f>2*(AY37-2)</f>
        <v>6</v>
      </c>
      <c r="BJ37" s="176">
        <f>3*(AY37-2)^2</f>
        <v>27</v>
      </c>
      <c r="BK37" s="176">
        <f>1/BI37</f>
        <v>0.16666666666666666</v>
      </c>
      <c r="BL37" s="202">
        <f>1/BJ37</f>
        <v>3.7037037037037035E-2</v>
      </c>
      <c r="BM37" s="202">
        <f>SQRT(BK37*(1-BL37))</f>
        <v>0.40061680838488767</v>
      </c>
      <c r="BN37" s="203">
        <f>0.5*(BE37-BF37)/(BG37-BH37)</f>
        <v>0.20701814524313059</v>
      </c>
      <c r="BO37" s="203">
        <f>IF(AA37&lt;=AB37,BM37,BN37)</f>
        <v>0.40061680838488767</v>
      </c>
      <c r="BP37" s="204">
        <f>BD37-(1.96*BO37)</f>
        <v>-0.58861247722044152</v>
      </c>
      <c r="BQ37" s="204">
        <f>BD37+(1.96*BO37)</f>
        <v>0.98180541164831814</v>
      </c>
      <c r="BR37" s="204"/>
      <c r="BS37" s="201">
        <f>EXP(BP37)</f>
        <v>0.55509696031712596</v>
      </c>
      <c r="BT37" s="201">
        <f>EXP(BQ37)</f>
        <v>2.6692710272919991</v>
      </c>
      <c r="BU37" s="205">
        <f>BA37</f>
        <v>0.17847792247338784</v>
      </c>
      <c r="BV37" s="205">
        <f>(BS37-1)/BS37</f>
        <v>-0.80148707611135483</v>
      </c>
      <c r="BW37" s="205">
        <f>(BT37-1)/BT37</f>
        <v>0.6253658808807776</v>
      </c>
    </row>
    <row r="38" spans="1:256" ht="13.5" thickBot="1">
      <c r="A38" s="122"/>
      <c r="B38" s="122"/>
      <c r="C38" s="382"/>
      <c r="D38" s="382"/>
      <c r="E38" s="382"/>
      <c r="F38" s="382"/>
      <c r="G38" s="382"/>
      <c r="H38" s="382"/>
      <c r="I38" s="80"/>
      <c r="J38" s="122"/>
      <c r="K38" s="122"/>
      <c r="L38" s="10"/>
      <c r="M38" s="10"/>
      <c r="N38" s="10"/>
      <c r="O38" s="10"/>
      <c r="P38" s="10"/>
      <c r="Q38" s="10"/>
      <c r="R38" s="206"/>
      <c r="S38" s="206"/>
      <c r="T38" s="206"/>
      <c r="U38" s="206"/>
      <c r="V38" s="206"/>
      <c r="W38" s="206"/>
      <c r="X38" s="206"/>
      <c r="Z38" s="10"/>
      <c r="AA38" s="10"/>
      <c r="AB38" s="207"/>
      <c r="AC38" s="208"/>
      <c r="AD38" s="209"/>
      <c r="AE38" s="208"/>
      <c r="AF38" s="210"/>
      <c r="AG38" s="210"/>
      <c r="AH38" s="210"/>
      <c r="AI38" s="2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211"/>
      <c r="AU38" s="211"/>
      <c r="AV38" s="211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212"/>
      <c r="BH38" s="10"/>
      <c r="BI38" s="10"/>
      <c r="BJ38" s="10"/>
      <c r="BK38" s="10"/>
      <c r="BN38" s="208" t="s">
        <v>203</v>
      </c>
      <c r="BT38" s="213" t="s">
        <v>204</v>
      </c>
      <c r="BU38" s="214">
        <f>BU37</f>
        <v>0.17847792247338784</v>
      </c>
      <c r="BV38" s="215" t="str">
        <f>IF(BV37&lt;0,"0%",BV37)</f>
        <v>0%</v>
      </c>
      <c r="BW38" s="216">
        <f>IF(BW37&lt;0,"0%",BW37)</f>
        <v>0.6253658808807776</v>
      </c>
    </row>
    <row r="39" spans="1:256" ht="15.75" thickBot="1">
      <c r="A39" s="116"/>
      <c r="B39" s="116"/>
      <c r="C39" s="383"/>
      <c r="D39" s="383"/>
      <c r="E39" s="383"/>
      <c r="F39" s="383"/>
      <c r="G39" s="383"/>
      <c r="H39" s="383"/>
      <c r="I39" s="217"/>
      <c r="J39" s="116"/>
      <c r="K39" s="116"/>
      <c r="L39" s="116"/>
      <c r="M39" s="10"/>
      <c r="N39" s="10"/>
      <c r="O39" s="10"/>
      <c r="P39" s="10"/>
      <c r="Q39" s="10"/>
      <c r="R39" s="218"/>
      <c r="S39" s="218"/>
      <c r="T39" s="218"/>
      <c r="U39" s="218"/>
      <c r="V39" s="218"/>
      <c r="W39" s="218"/>
      <c r="X39" s="218"/>
      <c r="Z39" s="10"/>
      <c r="AA39" s="10"/>
      <c r="AB39" s="10"/>
      <c r="AC39" s="10"/>
      <c r="AD39" s="10"/>
      <c r="AE39" s="10"/>
      <c r="AF39" s="10"/>
      <c r="AG39" s="10"/>
      <c r="AH39" s="10"/>
      <c r="AI39" s="212"/>
      <c r="AJ39" s="26"/>
      <c r="AK39" s="26"/>
      <c r="AL39" s="219"/>
      <c r="AM39" s="220"/>
      <c r="AN39" s="221"/>
      <c r="AO39" s="222" t="s">
        <v>295</v>
      </c>
      <c r="AP39" s="223">
        <f>TINV(0.05,(AB37-2))</f>
        <v>3.1824463052837091</v>
      </c>
      <c r="AQ39" s="10"/>
      <c r="AR39" s="224"/>
      <c r="AS39" s="225" t="s">
        <v>205</v>
      </c>
      <c r="AT39" s="226">
        <f>EXP(AM37-AP39*SQRT((1/AD37)+AH37))</f>
        <v>0.66321126290288701</v>
      </c>
      <c r="AU39" s="227">
        <f>EXP(AM37+AP39*SQRT((1/AD37)+AH37))</f>
        <v>1.06174032557855</v>
      </c>
      <c r="AV39" s="127"/>
      <c r="AW39" s="10"/>
      <c r="AX39" s="10"/>
      <c r="AY39" s="10"/>
      <c r="AZ39" s="10"/>
      <c r="BB39" s="10"/>
      <c r="BC39" s="10"/>
      <c r="BD39" s="10"/>
      <c r="BF39" s="228"/>
      <c r="BG39" s="212"/>
      <c r="BH39" s="212"/>
      <c r="BJ39" s="156"/>
      <c r="BK39" s="10"/>
      <c r="BL39" s="229"/>
      <c r="BM39" s="230"/>
      <c r="BN39" s="10"/>
      <c r="BQ39" s="229"/>
    </row>
    <row r="40" spans="1:256">
      <c r="A40" s="122"/>
      <c r="B40" s="122"/>
      <c r="C40" s="382"/>
      <c r="D40" s="382"/>
      <c r="E40" s="382"/>
      <c r="F40" s="382"/>
      <c r="G40" s="382"/>
      <c r="H40" s="382"/>
      <c r="I40" s="80"/>
      <c r="J40" s="122"/>
      <c r="K40" s="122"/>
      <c r="L40" s="10"/>
      <c r="M40" s="10"/>
      <c r="N40" s="10"/>
      <c r="O40" s="10"/>
      <c r="P40" s="10"/>
      <c r="Q40" s="10"/>
      <c r="R40" s="206"/>
      <c r="S40" s="206"/>
      <c r="T40" s="206"/>
      <c r="U40" s="206"/>
      <c r="V40" s="206"/>
      <c r="W40" s="206"/>
      <c r="X40" s="206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L40" s="237"/>
      <c r="AM40" s="237"/>
      <c r="AR40" s="16"/>
      <c r="AS40" s="16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P40" s="229"/>
    </row>
    <row r="41" spans="1:256">
      <c r="A41" s="122"/>
      <c r="B41" s="122"/>
      <c r="C41" s="382"/>
      <c r="D41" s="382"/>
      <c r="E41" s="382"/>
      <c r="F41" s="382"/>
      <c r="G41" s="382"/>
      <c r="H41" s="382"/>
      <c r="I41" s="80"/>
      <c r="J41" s="416" t="s">
        <v>176</v>
      </c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8"/>
      <c r="X41" s="123"/>
      <c r="Y41" s="419" t="s">
        <v>177</v>
      </c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20"/>
      <c r="AN41" s="420"/>
      <c r="AO41" s="420"/>
      <c r="AP41" s="420"/>
      <c r="AQ41" s="420"/>
      <c r="AR41" s="420"/>
      <c r="AS41" s="420"/>
      <c r="AT41" s="420"/>
      <c r="AU41" s="421"/>
      <c r="AV41" s="123"/>
      <c r="AW41" s="416" t="s">
        <v>178</v>
      </c>
      <c r="AX41" s="417"/>
      <c r="AY41" s="417"/>
      <c r="AZ41" s="417"/>
      <c r="BA41" s="417"/>
      <c r="BB41" s="417"/>
      <c r="BC41" s="417"/>
      <c r="BD41" s="417"/>
      <c r="BE41" s="417"/>
      <c r="BF41" s="417"/>
      <c r="BG41" s="417"/>
      <c r="BH41" s="417"/>
      <c r="BI41" s="417"/>
      <c r="BJ41" s="417"/>
      <c r="BK41" s="417"/>
      <c r="BL41" s="417"/>
      <c r="BM41" s="417"/>
      <c r="BN41" s="417"/>
      <c r="BO41" s="417"/>
      <c r="BP41" s="417"/>
      <c r="BQ41" s="417"/>
      <c r="BR41" s="417"/>
      <c r="BS41" s="417"/>
      <c r="BT41" s="417"/>
      <c r="BU41" s="417"/>
      <c r="BV41" s="417"/>
      <c r="BW41" s="418"/>
    </row>
    <row r="42" spans="1:256">
      <c r="A42" s="124"/>
      <c r="B42" s="71" t="s">
        <v>155</v>
      </c>
      <c r="C42" s="415" t="s">
        <v>156</v>
      </c>
      <c r="D42" s="415"/>
      <c r="E42" s="415"/>
      <c r="F42" s="415" t="s">
        <v>157</v>
      </c>
      <c r="G42" s="415"/>
      <c r="H42" s="415"/>
      <c r="I42" s="125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26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126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ht="65.25">
      <c r="A43" s="122"/>
      <c r="B43" s="72" t="s">
        <v>229</v>
      </c>
      <c r="C43" s="380" t="s">
        <v>158</v>
      </c>
      <c r="D43" s="380" t="s">
        <v>159</v>
      </c>
      <c r="E43" s="380" t="s">
        <v>1</v>
      </c>
      <c r="F43" s="380" t="s">
        <v>158</v>
      </c>
      <c r="G43" s="380" t="s">
        <v>159</v>
      </c>
      <c r="H43" s="380" t="s">
        <v>1</v>
      </c>
      <c r="I43" s="127"/>
      <c r="K43" s="128" t="s">
        <v>266</v>
      </c>
      <c r="L43" s="128" t="s">
        <v>267</v>
      </c>
      <c r="M43" s="128" t="s">
        <v>268</v>
      </c>
      <c r="N43" s="129" t="s">
        <v>269</v>
      </c>
      <c r="O43" s="129" t="s">
        <v>179</v>
      </c>
      <c r="P43" s="129" t="s">
        <v>180</v>
      </c>
      <c r="Q43" s="130" t="s">
        <v>181</v>
      </c>
      <c r="R43" s="128" t="s">
        <v>182</v>
      </c>
      <c r="S43" s="131" t="s">
        <v>183</v>
      </c>
      <c r="T43" s="131" t="s">
        <v>184</v>
      </c>
      <c r="U43" s="131" t="s">
        <v>185</v>
      </c>
      <c r="V43" s="132" t="s">
        <v>161</v>
      </c>
      <c r="W43" s="133" t="s">
        <v>162</v>
      </c>
      <c r="X43" s="134"/>
      <c r="Y43" s="81"/>
      <c r="Z43" s="135" t="s">
        <v>186</v>
      </c>
      <c r="AA43" s="129" t="s">
        <v>270</v>
      </c>
      <c r="AB43" s="136" t="s">
        <v>187</v>
      </c>
      <c r="AC43" s="136" t="s">
        <v>188</v>
      </c>
      <c r="AD43" s="136" t="s">
        <v>271</v>
      </c>
      <c r="AE43" s="129" t="s">
        <v>272</v>
      </c>
      <c r="AF43" s="129" t="s">
        <v>273</v>
      </c>
      <c r="AG43" s="137" t="s">
        <v>274</v>
      </c>
      <c r="AH43" s="137" t="s">
        <v>275</v>
      </c>
      <c r="AI43" s="136" t="s">
        <v>276</v>
      </c>
      <c r="AJ43" s="129" t="s">
        <v>277</v>
      </c>
      <c r="AK43" s="129" t="s">
        <v>278</v>
      </c>
      <c r="AL43" s="129" t="s">
        <v>279</v>
      </c>
      <c r="AM43" s="136" t="s">
        <v>189</v>
      </c>
      <c r="AN43" s="138" t="s">
        <v>190</v>
      </c>
      <c r="AO43" s="129" t="s">
        <v>191</v>
      </c>
      <c r="AP43" s="129" t="s">
        <v>192</v>
      </c>
      <c r="AQ43" s="139" t="s">
        <v>183</v>
      </c>
      <c r="AR43" s="131" t="s">
        <v>193</v>
      </c>
      <c r="AS43" s="131" t="s">
        <v>194</v>
      </c>
      <c r="AT43" s="132" t="s">
        <v>161</v>
      </c>
      <c r="AU43" s="133" t="s">
        <v>162</v>
      </c>
      <c r="AV43" s="134"/>
      <c r="AX43" s="140" t="s">
        <v>195</v>
      </c>
      <c r="AY43" s="140" t="s">
        <v>187</v>
      </c>
      <c r="AZ43" s="141" t="s">
        <v>280</v>
      </c>
      <c r="BA43" s="142" t="s">
        <v>281</v>
      </c>
      <c r="BC43" s="136" t="s">
        <v>282</v>
      </c>
      <c r="BD43" s="136" t="s">
        <v>283</v>
      </c>
      <c r="BE43" s="136" t="s">
        <v>196</v>
      </c>
      <c r="BF43" s="136" t="s">
        <v>197</v>
      </c>
      <c r="BG43" s="136" t="s">
        <v>198</v>
      </c>
      <c r="BH43" s="136" t="s">
        <v>199</v>
      </c>
      <c r="BI43" s="136" t="s">
        <v>200</v>
      </c>
      <c r="BJ43" s="136" t="s">
        <v>284</v>
      </c>
      <c r="BK43" s="136" t="s">
        <v>201</v>
      </c>
      <c r="BL43" s="136" t="s">
        <v>202</v>
      </c>
      <c r="BM43" s="143" t="s">
        <v>285</v>
      </c>
      <c r="BN43" s="143" t="s">
        <v>286</v>
      </c>
      <c r="BO43" s="143" t="s">
        <v>287</v>
      </c>
      <c r="BP43" s="143" t="s">
        <v>288</v>
      </c>
      <c r="BQ43" s="143" t="s">
        <v>289</v>
      </c>
      <c r="BR43" s="144"/>
      <c r="BS43" s="131" t="s">
        <v>290</v>
      </c>
      <c r="BT43" s="131" t="s">
        <v>291</v>
      </c>
      <c r="BU43" s="130" t="s">
        <v>292</v>
      </c>
      <c r="BV43" s="132" t="s">
        <v>293</v>
      </c>
      <c r="BW43" s="133" t="s">
        <v>294</v>
      </c>
    </row>
    <row r="44" spans="1:256">
      <c r="A44" s="116"/>
      <c r="B44" s="145" t="s">
        <v>3</v>
      </c>
      <c r="C44" s="357">
        <v>205</v>
      </c>
      <c r="D44" s="277">
        <v>4923</v>
      </c>
      <c r="E44" s="358">
        <v>5128</v>
      </c>
      <c r="F44" s="357">
        <v>248</v>
      </c>
      <c r="G44" s="277">
        <v>4875</v>
      </c>
      <c r="H44" s="358">
        <v>5123</v>
      </c>
      <c r="I44" s="146"/>
      <c r="K44" s="147">
        <f>(C44/E44)/(F44/H44)</f>
        <v>0.82580692340596851</v>
      </c>
      <c r="L44" s="148">
        <f>(D44/(C44*E44)+(G44/(F44*H44)))</f>
        <v>8.5201009185939328E-3</v>
      </c>
      <c r="M44" s="149">
        <f>1/L44</f>
        <v>117.36950178813485</v>
      </c>
      <c r="N44" s="150">
        <f>LN(K44)</f>
        <v>-0.19139428168787767</v>
      </c>
      <c r="O44" s="150">
        <f>M44*N44</f>
        <v>-22.463851486804145</v>
      </c>
      <c r="P44" s="150">
        <f>LN(K44)</f>
        <v>-0.19139428168787767</v>
      </c>
      <c r="Q44" s="236">
        <f>K44</f>
        <v>0.82580692340596851</v>
      </c>
      <c r="R44" s="151">
        <f>SQRT(1/M44)</f>
        <v>9.2304392737257809E-2</v>
      </c>
      <c r="S44" s="152">
        <f>-NORMSINV(2.5/100)</f>
        <v>1.9599639845400538</v>
      </c>
      <c r="T44" s="153">
        <f>P44-(R44*S44)</f>
        <v>-0.37230756706774348</v>
      </c>
      <c r="U44" s="153">
        <f>P44+(R44*S44)</f>
        <v>-1.0480996308011858E-2</v>
      </c>
      <c r="V44" s="154">
        <f>EXP(T44)</f>
        <v>0.6891422524634645</v>
      </c>
      <c r="W44" s="155">
        <f>EXP(U44)</f>
        <v>0.98957373794372827</v>
      </c>
      <c r="X44" s="156"/>
      <c r="Z44" s="157">
        <f>(N44-P49)^2</f>
        <v>1.0998243741744968E-3</v>
      </c>
      <c r="AA44" s="158">
        <f>M44*Z44</f>
        <v>0.12908583885130789</v>
      </c>
      <c r="AB44" s="159">
        <v>1</v>
      </c>
      <c r="AC44" s="144"/>
      <c r="AD44" s="144"/>
      <c r="AE44" s="149">
        <f>M44^2</f>
        <v>13775.59994999499</v>
      </c>
      <c r="AF44" s="160"/>
      <c r="AG44" s="161">
        <f>AG49</f>
        <v>-4.9670010869616813E-3</v>
      </c>
      <c r="AH44" s="161" t="str">
        <f>AH49</f>
        <v>0</v>
      </c>
      <c r="AI44" s="158">
        <f>1/M44</f>
        <v>8.5201009185939328E-3</v>
      </c>
      <c r="AJ44" s="162">
        <f>1/(AH44+AI44)</f>
        <v>117.36950178813485</v>
      </c>
      <c r="AK44" s="163">
        <f>AJ44/AJ49</f>
        <v>0.18916632479123266</v>
      </c>
      <c r="AL44" s="164">
        <f>AJ44*N44</f>
        <v>-22.463851486804145</v>
      </c>
      <c r="AM44" s="165">
        <f>AL44/AJ44</f>
        <v>-0.19139428168787767</v>
      </c>
      <c r="AN44" s="155">
        <f>EXP(AM44)</f>
        <v>0.82580692340596851</v>
      </c>
      <c r="AO44" s="166">
        <f>1/AJ44</f>
        <v>8.5201009185939328E-3</v>
      </c>
      <c r="AP44" s="155">
        <f>SQRT(AO44)</f>
        <v>9.2304392737257809E-2</v>
      </c>
      <c r="AQ44" s="167">
        <f>-NORMSINV(2.5/100)</f>
        <v>1.9599639845400538</v>
      </c>
      <c r="AR44" s="153">
        <f>AM44-(AQ44*AP44)</f>
        <v>-0.37230756706774348</v>
      </c>
      <c r="AS44" s="153">
        <f>AM44+(1.96*AP44)</f>
        <v>-1.0477671922852372E-2</v>
      </c>
      <c r="AT44" s="168">
        <f>EXP(AR44)</f>
        <v>0.6891422524634645</v>
      </c>
      <c r="AU44" s="168">
        <f>EXP(AS44)</f>
        <v>0.98957702767344513</v>
      </c>
      <c r="AV44" s="127"/>
      <c r="AX44" s="169"/>
      <c r="AY44" s="169">
        <v>1</v>
      </c>
      <c r="AZ44" s="170"/>
      <c r="BA44" s="170"/>
      <c r="BC44" s="144"/>
      <c r="BD44" s="144"/>
      <c r="BE44" s="159"/>
      <c r="BF44" s="159"/>
      <c r="BG44" s="159"/>
      <c r="BH44" s="159"/>
      <c r="BI44" s="159"/>
      <c r="BJ44" s="159"/>
      <c r="BK44" s="159"/>
      <c r="BL44" s="159"/>
      <c r="BM44" s="144"/>
      <c r="BN44" s="144"/>
      <c r="BO44" s="144"/>
      <c r="BP44" s="144"/>
      <c r="BQ44" s="144"/>
      <c r="BR44" s="144"/>
      <c r="BS44" s="171"/>
      <c r="BT44" s="171"/>
      <c r="BU44" s="171"/>
      <c r="BV44" s="144"/>
      <c r="BW44" s="144"/>
    </row>
    <row r="45" spans="1:256">
      <c r="A45" s="116"/>
      <c r="B45" s="145" t="s">
        <v>4</v>
      </c>
      <c r="C45" s="357">
        <v>310</v>
      </c>
      <c r="D45" s="277">
        <v>5261</v>
      </c>
      <c r="E45" s="358">
        <v>5571</v>
      </c>
      <c r="F45" s="357">
        <v>337</v>
      </c>
      <c r="G45" s="277">
        <v>5232</v>
      </c>
      <c r="H45" s="358">
        <v>5569</v>
      </c>
      <c r="I45" s="146"/>
      <c r="K45" s="147">
        <f t="shared" ref="K45:K48" si="77">(C45/E45)/(F45/H45)</f>
        <v>0.91955106643294249</v>
      </c>
      <c r="L45" s="148">
        <f t="shared" ref="L45:L48" si="78">(D45/(C45*E45)+(G45/(F45*H45)))</f>
        <v>5.8340990631954668E-3</v>
      </c>
      <c r="M45" s="149">
        <f t="shared" ref="M45:M48" si="79">1/L45</f>
        <v>171.40607130045501</v>
      </c>
      <c r="N45" s="150">
        <f t="shared" ref="N45:N48" si="80">LN(K45)</f>
        <v>-8.3869699304316717E-2</v>
      </c>
      <c r="O45" s="150">
        <f t="shared" ref="O45:O48" si="81">M45*N45</f>
        <v>-14.375775658903434</v>
      </c>
      <c r="P45" s="150">
        <f t="shared" ref="P45:P48" si="82">LN(K45)</f>
        <v>-8.3869699304316717E-2</v>
      </c>
      <c r="Q45" s="236">
        <f t="shared" ref="Q45:Q48" si="83">K45</f>
        <v>0.91955106643294249</v>
      </c>
      <c r="R45" s="151">
        <f t="shared" ref="R45:R48" si="84">SQRT(1/M45)</f>
        <v>7.6381274296750679E-2</v>
      </c>
      <c r="S45" s="152">
        <f t="shared" ref="S45:S48" si="85">-NORMSINV(2.5/100)</f>
        <v>1.9599639845400538</v>
      </c>
      <c r="T45" s="153">
        <f t="shared" ref="T45:T48" si="86">P45-(R45*S45)</f>
        <v>-0.233574246019223</v>
      </c>
      <c r="U45" s="153">
        <f t="shared" ref="U45:U48" si="87">P45+(R45*S45)</f>
        <v>6.583484741058955E-2</v>
      </c>
      <c r="V45" s="154">
        <f t="shared" ref="V45:W48" si="88">EXP(T45)</f>
        <v>0.79169881307279066</v>
      </c>
      <c r="W45" s="155">
        <f t="shared" si="88"/>
        <v>1.0680503113249176</v>
      </c>
      <c r="X45" s="156"/>
      <c r="Z45" s="157">
        <f>(N45-P151)^2</f>
        <v>7.0341264613965043E-3</v>
      </c>
      <c r="AA45" s="158">
        <f t="shared" ref="AA45:AA48" si="89">M45*Z45</f>
        <v>1.2056919817785465</v>
      </c>
      <c r="AB45" s="159">
        <v>1</v>
      </c>
      <c r="AC45" s="144"/>
      <c r="AD45" s="144"/>
      <c r="AE45" s="149">
        <f t="shared" ref="AE45:AE48" si="90">M45^2</f>
        <v>29380.041278656667</v>
      </c>
      <c r="AF45" s="160"/>
      <c r="AG45" s="161">
        <f>AG49</f>
        <v>-4.9670010869616813E-3</v>
      </c>
      <c r="AH45" s="161" t="str">
        <f>AH49</f>
        <v>0</v>
      </c>
      <c r="AI45" s="158">
        <f t="shared" ref="AI45:AI48" si="91">1/M45</f>
        <v>5.8340990631954668E-3</v>
      </c>
      <c r="AJ45" s="162">
        <f t="shared" ref="AJ45:AJ48" si="92">1/(AH45+AI45)</f>
        <v>171.40607130045501</v>
      </c>
      <c r="AK45" s="163">
        <f>AJ45/AJ49</f>
        <v>0.27625793805737103</v>
      </c>
      <c r="AL45" s="164">
        <f t="shared" ref="AL45:AL48" si="93">AJ45*N45</f>
        <v>-14.375775658903434</v>
      </c>
      <c r="AM45" s="165">
        <f t="shared" ref="AM45:AM48" si="94">AL45/AJ45</f>
        <v>-8.3869699304316717E-2</v>
      </c>
      <c r="AN45" s="155">
        <f t="shared" ref="AN45:AN48" si="95">EXP(AM45)</f>
        <v>0.91955106643294249</v>
      </c>
      <c r="AO45" s="166">
        <f t="shared" ref="AO45:AO48" si="96">1/AJ45</f>
        <v>5.8340990631954668E-3</v>
      </c>
      <c r="AP45" s="155">
        <f t="shared" ref="AP45:AP48" si="97">SQRT(AO45)</f>
        <v>7.6381274296750679E-2</v>
      </c>
      <c r="AQ45" s="167">
        <f t="shared" ref="AQ45:AQ48" si="98">-NORMSINV(2.5/100)</f>
        <v>1.9599639845400538</v>
      </c>
      <c r="AR45" s="153">
        <f t="shared" ref="AR45:AR48" si="99">AM45-(AQ45*AP45)</f>
        <v>-0.233574246019223</v>
      </c>
      <c r="AS45" s="153">
        <f t="shared" ref="AS45:AS48" si="100">AM45+(1.96*AP45)</f>
        <v>6.5837598317314602E-2</v>
      </c>
      <c r="AT45" s="168">
        <f t="shared" ref="AT45:AU48" si="101">EXP(AR45)</f>
        <v>0.79169881307279066</v>
      </c>
      <c r="AU45" s="168">
        <f t="shared" si="101"/>
        <v>1.0680532494357429</v>
      </c>
      <c r="AV45" s="127"/>
      <c r="AX45" s="169"/>
      <c r="AY45" s="169">
        <v>1</v>
      </c>
      <c r="AZ45" s="170"/>
      <c r="BA45" s="170"/>
      <c r="BC45" s="144"/>
      <c r="BD45" s="144"/>
      <c r="BE45" s="159"/>
      <c r="BF45" s="159"/>
      <c r="BG45" s="159"/>
      <c r="BH45" s="159"/>
      <c r="BI45" s="159"/>
      <c r="BJ45" s="159"/>
      <c r="BK45" s="159"/>
      <c r="BL45" s="159"/>
      <c r="BM45" s="144"/>
      <c r="BN45" s="144"/>
      <c r="BO45" s="144"/>
      <c r="BP45" s="144"/>
      <c r="BQ45" s="144"/>
      <c r="BR45" s="144"/>
      <c r="BS45" s="171"/>
      <c r="BT45" s="171"/>
      <c r="BU45" s="171"/>
      <c r="BV45" s="144"/>
      <c r="BW45" s="144"/>
    </row>
    <row r="46" spans="1:256">
      <c r="A46" s="116"/>
      <c r="B46" s="145" t="s">
        <v>259</v>
      </c>
      <c r="C46" s="357">
        <v>164</v>
      </c>
      <c r="D46" s="277">
        <v>2441</v>
      </c>
      <c r="E46" s="358">
        <v>2605</v>
      </c>
      <c r="F46" s="357">
        <v>202</v>
      </c>
      <c r="G46" s="277">
        <v>2431</v>
      </c>
      <c r="H46" s="358">
        <v>2633</v>
      </c>
      <c r="I46" s="146"/>
      <c r="K46" s="147">
        <f t="shared" si="77"/>
        <v>0.82060774215617338</v>
      </c>
      <c r="L46" s="148">
        <f t="shared" si="78"/>
        <v>1.0284383955057489E-2</v>
      </c>
      <c r="M46" s="149">
        <f t="shared" si="79"/>
        <v>97.234798347667294</v>
      </c>
      <c r="N46" s="150">
        <f t="shared" si="80"/>
        <v>-0.19771006426816423</v>
      </c>
      <c r="O46" s="150">
        <f t="shared" si="81"/>
        <v>-19.22429823041929</v>
      </c>
      <c r="P46" s="150">
        <f t="shared" si="82"/>
        <v>-0.19771006426816423</v>
      </c>
      <c r="Q46" s="236">
        <f t="shared" si="83"/>
        <v>0.82060774215617338</v>
      </c>
      <c r="R46" s="151">
        <f t="shared" si="84"/>
        <v>0.10141195173675285</v>
      </c>
      <c r="S46" s="152">
        <f t="shared" si="85"/>
        <v>1.9599639845400538</v>
      </c>
      <c r="T46" s="153">
        <f t="shared" si="86"/>
        <v>-0.396473837274114</v>
      </c>
      <c r="U46" s="153">
        <f t="shared" si="87"/>
        <v>1.0537087377855137E-3</v>
      </c>
      <c r="V46" s="154">
        <f t="shared" si="88"/>
        <v>0.67268787581951595</v>
      </c>
      <c r="W46" s="155">
        <f t="shared" si="88"/>
        <v>1.0010542640838782</v>
      </c>
      <c r="X46" s="156"/>
      <c r="Z46" s="157">
        <f>(N46-P49)^2</f>
        <v>1.5586216598899693E-3</v>
      </c>
      <c r="AA46" s="158">
        <f t="shared" si="89"/>
        <v>0.15155226279970765</v>
      </c>
      <c r="AB46" s="159">
        <v>1</v>
      </c>
      <c r="AC46" s="144"/>
      <c r="AD46" s="144"/>
      <c r="AE46" s="149">
        <f t="shared" si="90"/>
        <v>9454.6060097115223</v>
      </c>
      <c r="AF46" s="160"/>
      <c r="AG46" s="161">
        <f>AG49</f>
        <v>-4.9670010869616813E-3</v>
      </c>
      <c r="AH46" s="161" t="str">
        <f>AH49</f>
        <v>0</v>
      </c>
      <c r="AI46" s="158">
        <f t="shared" si="91"/>
        <v>1.0284383955057489E-2</v>
      </c>
      <c r="AJ46" s="162">
        <f t="shared" si="92"/>
        <v>97.234798347667294</v>
      </c>
      <c r="AK46" s="163">
        <f>AJ46/AJ49</f>
        <v>0.15671489752463352</v>
      </c>
      <c r="AL46" s="164">
        <f t="shared" si="93"/>
        <v>-19.22429823041929</v>
      </c>
      <c r="AM46" s="165">
        <f t="shared" si="94"/>
        <v>-0.19771006426816423</v>
      </c>
      <c r="AN46" s="155">
        <f t="shared" si="95"/>
        <v>0.82060774215617338</v>
      </c>
      <c r="AO46" s="166">
        <f t="shared" si="96"/>
        <v>1.0284383955057489E-2</v>
      </c>
      <c r="AP46" s="155">
        <f t="shared" si="97"/>
        <v>0.10141195173675285</v>
      </c>
      <c r="AQ46" s="167">
        <f t="shared" si="98"/>
        <v>1.9599639845400538</v>
      </c>
      <c r="AR46" s="153">
        <f t="shared" si="99"/>
        <v>-0.396473837274114</v>
      </c>
      <c r="AS46" s="153">
        <f t="shared" si="100"/>
        <v>1.0573611358713486E-3</v>
      </c>
      <c r="AT46" s="168">
        <f t="shared" si="101"/>
        <v>0.67268787581951595</v>
      </c>
      <c r="AU46" s="168">
        <f t="shared" si="101"/>
        <v>1.0010579203392331</v>
      </c>
      <c r="AV46" s="127"/>
      <c r="AX46" s="169"/>
      <c r="AY46" s="169">
        <v>1</v>
      </c>
      <c r="AZ46" s="170"/>
      <c r="BA46" s="170"/>
      <c r="BC46" s="144"/>
      <c r="BD46" s="144"/>
      <c r="BE46" s="159"/>
      <c r="BF46" s="159"/>
      <c r="BG46" s="159"/>
      <c r="BH46" s="159"/>
      <c r="BI46" s="159"/>
      <c r="BJ46" s="159"/>
      <c r="BK46" s="159"/>
      <c r="BL46" s="159"/>
      <c r="BM46" s="144"/>
      <c r="BN46" s="144"/>
      <c r="BO46" s="144"/>
      <c r="BP46" s="144"/>
      <c r="BQ46" s="144"/>
      <c r="BR46" s="144"/>
      <c r="BS46" s="171"/>
      <c r="BT46" s="171"/>
      <c r="BU46" s="171"/>
      <c r="BV46" s="144"/>
      <c r="BW46" s="144"/>
    </row>
    <row r="47" spans="1:256">
      <c r="A47" s="116"/>
      <c r="B47" s="145" t="s">
        <v>5</v>
      </c>
      <c r="C47" s="357">
        <v>426</v>
      </c>
      <c r="D47" s="277">
        <v>2645</v>
      </c>
      <c r="E47" s="358">
        <v>3071</v>
      </c>
      <c r="F47" s="357">
        <v>259</v>
      </c>
      <c r="G47" s="277">
        <v>1290</v>
      </c>
      <c r="H47" s="358">
        <v>1549</v>
      </c>
      <c r="I47" s="146"/>
      <c r="K47" s="147">
        <f t="shared" si="77"/>
        <v>0.82962424675221813</v>
      </c>
      <c r="L47" s="148">
        <f t="shared" si="78"/>
        <v>5.2372170776045692E-3</v>
      </c>
      <c r="M47" s="149">
        <f t="shared" si="79"/>
        <v>190.94110195970455</v>
      </c>
      <c r="N47" s="150">
        <f t="shared" si="80"/>
        <v>-0.18678239545412104</v>
      </c>
      <c r="O47" s="150">
        <f t="shared" si="81"/>
        <v>-35.66443641468318</v>
      </c>
      <c r="P47" s="150">
        <f t="shared" si="82"/>
        <v>-0.18678239545412104</v>
      </c>
      <c r="Q47" s="236">
        <f t="shared" si="83"/>
        <v>0.82962424675221813</v>
      </c>
      <c r="R47" s="151">
        <f t="shared" si="84"/>
        <v>7.2368619425857289E-2</v>
      </c>
      <c r="S47" s="152">
        <f t="shared" si="85"/>
        <v>1.9599639845400538</v>
      </c>
      <c r="T47" s="153">
        <f t="shared" si="86"/>
        <v>-0.328622283139687</v>
      </c>
      <c r="U47" s="153">
        <f t="shared" si="87"/>
        <v>-4.4942507768555046E-2</v>
      </c>
      <c r="V47" s="154">
        <f t="shared" si="88"/>
        <v>0.7199148893901155</v>
      </c>
      <c r="W47" s="155">
        <f t="shared" si="88"/>
        <v>0.9560524458415729</v>
      </c>
      <c r="X47" s="156"/>
      <c r="Z47" s="157">
        <f>(N47-P49)^2</f>
        <v>8.152003669225765E-4</v>
      </c>
      <c r="AA47" s="158">
        <f t="shared" si="89"/>
        <v>0.15565525637815225</v>
      </c>
      <c r="AB47" s="159">
        <v>1</v>
      </c>
      <c r="AC47" s="144"/>
      <c r="AD47" s="144"/>
      <c r="AE47" s="149">
        <f t="shared" si="90"/>
        <v>36458.504417586293</v>
      </c>
      <c r="AF47" s="160"/>
      <c r="AG47" s="161">
        <f>AG49</f>
        <v>-4.9670010869616813E-3</v>
      </c>
      <c r="AH47" s="161" t="str">
        <f>AH49</f>
        <v>0</v>
      </c>
      <c r="AI47" s="158">
        <f t="shared" si="91"/>
        <v>5.2372170776045692E-3</v>
      </c>
      <c r="AJ47" s="162">
        <f t="shared" si="92"/>
        <v>190.94110195970455</v>
      </c>
      <c r="AK47" s="163">
        <f>AJ47/AJ49</f>
        <v>0.30774286300120218</v>
      </c>
      <c r="AL47" s="164">
        <f t="shared" si="93"/>
        <v>-35.66443641468318</v>
      </c>
      <c r="AM47" s="165">
        <f t="shared" si="94"/>
        <v>-0.18678239545412104</v>
      </c>
      <c r="AN47" s="155">
        <f t="shared" si="95"/>
        <v>0.82962424675221813</v>
      </c>
      <c r="AO47" s="166">
        <f t="shared" si="96"/>
        <v>5.2372170776045692E-3</v>
      </c>
      <c r="AP47" s="155">
        <f t="shared" si="97"/>
        <v>7.2368619425857289E-2</v>
      </c>
      <c r="AQ47" s="167">
        <f t="shared" si="98"/>
        <v>1.9599639845400538</v>
      </c>
      <c r="AR47" s="153">
        <f t="shared" si="99"/>
        <v>-0.328622283139687</v>
      </c>
      <c r="AS47" s="153">
        <f t="shared" si="100"/>
        <v>-4.4939901379440761E-2</v>
      </c>
      <c r="AT47" s="168">
        <f t="shared" si="101"/>
        <v>0.7199148893901155</v>
      </c>
      <c r="AU47" s="168">
        <f t="shared" si="101"/>
        <v>0.95605493768950778</v>
      </c>
      <c r="AV47" s="127"/>
      <c r="AX47" s="169"/>
      <c r="AY47" s="169">
        <v>1</v>
      </c>
      <c r="AZ47" s="170"/>
      <c r="BA47" s="170"/>
      <c r="BC47" s="144"/>
      <c r="BD47" s="144"/>
      <c r="BE47" s="159"/>
      <c r="BF47" s="159"/>
      <c r="BG47" s="159"/>
      <c r="BH47" s="159"/>
      <c r="BI47" s="159"/>
      <c r="BJ47" s="159"/>
      <c r="BK47" s="159"/>
      <c r="BL47" s="159"/>
      <c r="BM47" s="144"/>
      <c r="BN47" s="144"/>
      <c r="BO47" s="144"/>
      <c r="BP47" s="144"/>
      <c r="BQ47" s="144"/>
      <c r="BR47" s="144"/>
      <c r="BS47" s="171"/>
      <c r="BT47" s="171"/>
      <c r="BU47" s="171"/>
      <c r="BV47" s="144"/>
      <c r="BW47" s="144"/>
    </row>
    <row r="48" spans="1:256">
      <c r="A48" s="116"/>
      <c r="B48" s="145" t="s">
        <v>6</v>
      </c>
      <c r="C48" s="357">
        <v>77</v>
      </c>
      <c r="D48" s="277">
        <v>892</v>
      </c>
      <c r="E48" s="358">
        <v>892</v>
      </c>
      <c r="F48" s="357">
        <v>90</v>
      </c>
      <c r="G48" s="277">
        <v>809</v>
      </c>
      <c r="H48" s="358">
        <v>899</v>
      </c>
      <c r="I48" s="146"/>
      <c r="K48" s="147">
        <f t="shared" si="77"/>
        <v>0.86226955655206772</v>
      </c>
      <c r="L48" s="148">
        <f t="shared" si="78"/>
        <v>2.2985777045843786E-2</v>
      </c>
      <c r="M48" s="149">
        <f t="shared" si="79"/>
        <v>43.505163997960935</v>
      </c>
      <c r="N48" s="150">
        <f t="shared" si="80"/>
        <v>-0.14818734658497038</v>
      </c>
      <c r="O48" s="150">
        <f t="shared" si="81"/>
        <v>-6.4469148156018123</v>
      </c>
      <c r="P48" s="150">
        <f t="shared" si="82"/>
        <v>-0.14818734658497038</v>
      </c>
      <c r="Q48" s="236">
        <f t="shared" si="83"/>
        <v>0.86226955655206772</v>
      </c>
      <c r="R48" s="151">
        <f t="shared" si="84"/>
        <v>0.15161060993823547</v>
      </c>
      <c r="S48" s="152">
        <f t="shared" si="85"/>
        <v>1.9599639845400538</v>
      </c>
      <c r="T48" s="153">
        <f t="shared" si="86"/>
        <v>-0.44533868173806224</v>
      </c>
      <c r="U48" s="153">
        <f t="shared" si="87"/>
        <v>0.14896398856812151</v>
      </c>
      <c r="V48" s="154">
        <f t="shared" si="88"/>
        <v>0.64060727730154754</v>
      </c>
      <c r="W48" s="155">
        <f t="shared" si="88"/>
        <v>1.1606311924653863</v>
      </c>
      <c r="X48" s="156"/>
      <c r="Z48" s="157">
        <f>(N48-P49)^2</f>
        <v>1.0086857719875209E-4</v>
      </c>
      <c r="AA48" s="158">
        <f t="shared" si="89"/>
        <v>4.3883039932726929E-3</v>
      </c>
      <c r="AB48" s="159">
        <v>1</v>
      </c>
      <c r="AC48" s="144"/>
      <c r="AD48" s="144"/>
      <c r="AE48" s="149">
        <f t="shared" si="90"/>
        <v>1892.6992944894762</v>
      </c>
      <c r="AF48" s="160"/>
      <c r="AG48" s="161">
        <f>AG49</f>
        <v>-4.9670010869616813E-3</v>
      </c>
      <c r="AH48" s="161" t="str">
        <f>AH49</f>
        <v>0</v>
      </c>
      <c r="AI48" s="158">
        <f t="shared" si="91"/>
        <v>2.2985777045843786E-2</v>
      </c>
      <c r="AJ48" s="162">
        <f t="shared" si="92"/>
        <v>43.505163997960935</v>
      </c>
      <c r="AK48" s="163">
        <f>AJ48/AJ49</f>
        <v>7.0117976625560491E-2</v>
      </c>
      <c r="AL48" s="164">
        <f t="shared" si="93"/>
        <v>-6.4469148156018123</v>
      </c>
      <c r="AM48" s="165">
        <f t="shared" si="94"/>
        <v>-0.14818734658497038</v>
      </c>
      <c r="AN48" s="155">
        <f t="shared" si="95"/>
        <v>0.86226955655206772</v>
      </c>
      <c r="AO48" s="166">
        <f t="shared" si="96"/>
        <v>2.2985777045843786E-2</v>
      </c>
      <c r="AP48" s="155">
        <f t="shared" si="97"/>
        <v>0.15161060993823547</v>
      </c>
      <c r="AQ48" s="167">
        <f t="shared" si="98"/>
        <v>1.9599639845400538</v>
      </c>
      <c r="AR48" s="153">
        <f t="shared" si="99"/>
        <v>-0.44533868173806224</v>
      </c>
      <c r="AS48" s="153">
        <f t="shared" si="100"/>
        <v>0.14896944889397115</v>
      </c>
      <c r="AT48" s="168">
        <f t="shared" si="101"/>
        <v>0.64060727730154754</v>
      </c>
      <c r="AU48" s="168">
        <f t="shared" si="101"/>
        <v>1.1606375299071907</v>
      </c>
      <c r="AV48" s="127"/>
      <c r="AX48" s="169"/>
      <c r="AY48" s="169">
        <v>1</v>
      </c>
      <c r="AZ48" s="170"/>
      <c r="BA48" s="170"/>
      <c r="BC48" s="144"/>
      <c r="BD48" s="144"/>
      <c r="BE48" s="159"/>
      <c r="BF48" s="159"/>
      <c r="BG48" s="159"/>
      <c r="BH48" s="159"/>
      <c r="BI48" s="159"/>
      <c r="BJ48" s="159"/>
      <c r="BK48" s="159"/>
      <c r="BL48" s="159"/>
      <c r="BM48" s="144"/>
      <c r="BN48" s="144"/>
      <c r="BO48" s="144"/>
      <c r="BP48" s="144"/>
      <c r="BQ48" s="144"/>
      <c r="BR48" s="144"/>
      <c r="BS48" s="171"/>
      <c r="BT48" s="171"/>
      <c r="BU48" s="171"/>
      <c r="BV48" s="144"/>
      <c r="BW48" s="144"/>
    </row>
    <row r="49" spans="1:256">
      <c r="A49" s="116"/>
      <c r="B49" s="77">
        <f>COUNT(C44:C48)</f>
        <v>5</v>
      </c>
      <c r="C49" s="359">
        <f t="shared" ref="C49:H49" si="102">SUM(C44:C48)</f>
        <v>1182</v>
      </c>
      <c r="D49" s="359">
        <f t="shared" si="102"/>
        <v>16162</v>
      </c>
      <c r="E49" s="359">
        <f t="shared" si="102"/>
        <v>17267</v>
      </c>
      <c r="F49" s="359">
        <f t="shared" si="102"/>
        <v>1136</v>
      </c>
      <c r="G49" s="359">
        <f t="shared" si="102"/>
        <v>14637</v>
      </c>
      <c r="H49" s="359">
        <f t="shared" si="102"/>
        <v>15773</v>
      </c>
      <c r="I49" s="82"/>
      <c r="K49" s="172"/>
      <c r="L49" s="173"/>
      <c r="M49" s="174">
        <f>SUM(M44:M48)</f>
        <v>620.45663739392273</v>
      </c>
      <c r="N49" s="175"/>
      <c r="O49" s="176">
        <f>SUM(O44:O48)</f>
        <v>-98.17527660641187</v>
      </c>
      <c r="P49" s="177">
        <f>O49/M49</f>
        <v>-0.15823068154895281</v>
      </c>
      <c r="Q49" s="178">
        <f>EXP(P49)</f>
        <v>0.85365283729482877</v>
      </c>
      <c r="R49" s="78">
        <f>SQRT(1/M49)</f>
        <v>4.0146185094238028E-2</v>
      </c>
      <c r="S49" s="152">
        <f>-NORMSINV(2.5/100)</f>
        <v>1.9599639845400538</v>
      </c>
      <c r="T49" s="179">
        <f>P49-(R49*S49)</f>
        <v>-0.23691575845033808</v>
      </c>
      <c r="U49" s="179">
        <f>P49+(R49*S49)</f>
        <v>-7.9545604647567533E-2</v>
      </c>
      <c r="V49" s="180">
        <f>EXP(T49)</f>
        <v>0.78905775666605371</v>
      </c>
      <c r="W49" s="181">
        <f>EXP(U49)</f>
        <v>0.92353590147891129</v>
      </c>
      <c r="X49" s="182"/>
      <c r="Y49" s="182"/>
      <c r="Z49" s="183"/>
      <c r="AA49" s="184">
        <f>SUM(AA44:AA48)</f>
        <v>1.6463736438009871</v>
      </c>
      <c r="AB49" s="185">
        <f>SUM(AB44:AB48)</f>
        <v>5</v>
      </c>
      <c r="AC49" s="186">
        <f>AA49-(AB49-1)</f>
        <v>-2.3536263561990127</v>
      </c>
      <c r="AD49" s="174">
        <f>M49</f>
        <v>620.45663739392273</v>
      </c>
      <c r="AE49" s="174">
        <f>SUM(AE44:AE48)</f>
        <v>90961.450950438957</v>
      </c>
      <c r="AF49" s="187">
        <f>AE49/AD49</f>
        <v>146.60404203668514</v>
      </c>
      <c r="AG49" s="188">
        <f>AC49/(AD49-AF49)</f>
        <v>-4.9670010869616813E-3</v>
      </c>
      <c r="AH49" s="188" t="str">
        <f>IF(AA49&lt;AB49-1,"0",AG49)</f>
        <v>0</v>
      </c>
      <c r="AI49" s="183"/>
      <c r="AJ49" s="174">
        <f>SUM(AJ44:AJ48)</f>
        <v>620.45663739392273</v>
      </c>
      <c r="AK49" s="189">
        <f>SUM(AK44:AK48)</f>
        <v>0.99999999999999989</v>
      </c>
      <c r="AL49" s="186">
        <f>SUM(AL44:AL48)</f>
        <v>-98.17527660641187</v>
      </c>
      <c r="AM49" s="186">
        <f>AL49/AJ49</f>
        <v>-0.15823068154895281</v>
      </c>
      <c r="AN49" s="190">
        <f>EXP(AM49)</f>
        <v>0.85365283729482877</v>
      </c>
      <c r="AO49" s="191">
        <f>1/AJ49</f>
        <v>1.6117161776208195E-3</v>
      </c>
      <c r="AP49" s="192">
        <f>SQRT(AO49)</f>
        <v>4.0146185094238028E-2</v>
      </c>
      <c r="AQ49" s="193">
        <f>-NORMSINV(2.5/100)</f>
        <v>1.9599639845400538</v>
      </c>
      <c r="AR49" s="179">
        <f>AM49-(AQ49*AP49)</f>
        <v>-0.23691575845033808</v>
      </c>
      <c r="AS49" s="179">
        <f>AM49+(1.96*AP49)</f>
        <v>-7.9544158764246281E-2</v>
      </c>
      <c r="AT49" s="194">
        <f>EXP(AR49)</f>
        <v>0.78905775666605371</v>
      </c>
      <c r="AU49" s="195">
        <f>EXP(AS49)</f>
        <v>0.92353723680503319</v>
      </c>
      <c r="AV49" s="196"/>
      <c r="AW49" s="20"/>
      <c r="AX49" s="197">
        <f>AA49</f>
        <v>1.6463736438009871</v>
      </c>
      <c r="AY49" s="77">
        <f>SUM(AY44:AY48)</f>
        <v>5</v>
      </c>
      <c r="AZ49" s="198">
        <f>(AX49-(AY49-1))/AX49</f>
        <v>-1.4295821395471258</v>
      </c>
      <c r="BA49" s="199" t="str">
        <f>IF(AA49&lt;AB49-1,"0%",AZ49)</f>
        <v>0%</v>
      </c>
      <c r="BB49" s="200"/>
      <c r="BC49" s="176">
        <f>AX49/(AY49-1)</f>
        <v>0.41159341095024676</v>
      </c>
      <c r="BD49" s="201">
        <f>LN(BC49)</f>
        <v>-0.88771928353170271</v>
      </c>
      <c r="BE49" s="176">
        <f>LN(AX49)</f>
        <v>0.49857507758818792</v>
      </c>
      <c r="BF49" s="176">
        <f>LN(AY49-1)</f>
        <v>1.3862943611198906</v>
      </c>
      <c r="BG49" s="176">
        <f>SQRT(2*AX49)</f>
        <v>1.8145928710325008</v>
      </c>
      <c r="BH49" s="176">
        <f>SQRT(2*AY49-3)</f>
        <v>2.6457513110645907</v>
      </c>
      <c r="BI49" s="176">
        <f>2*(AY49-2)</f>
        <v>6</v>
      </c>
      <c r="BJ49" s="176">
        <f>3*(AY49-2)^2</f>
        <v>27</v>
      </c>
      <c r="BK49" s="176">
        <f>1/BI49</f>
        <v>0.16666666666666666</v>
      </c>
      <c r="BL49" s="202">
        <f>1/BJ49</f>
        <v>3.7037037037037035E-2</v>
      </c>
      <c r="BM49" s="202">
        <f>SQRT(BK49*(1-BL49))</f>
        <v>0.40061680838488767</v>
      </c>
      <c r="BN49" s="203">
        <f>0.5*(BE49-BF49)/(BG49-BH49)</f>
        <v>0.53402530779656709</v>
      </c>
      <c r="BO49" s="203">
        <f>IF(AA49&lt;=AB49,BM49,BN49)</f>
        <v>0.40061680838488767</v>
      </c>
      <c r="BP49" s="204">
        <f>BD49-(1.96*BO49)</f>
        <v>-1.6729282279660826</v>
      </c>
      <c r="BQ49" s="204">
        <f>BD49+(1.96*BO49)</f>
        <v>-0.10251033909732288</v>
      </c>
      <c r="BR49" s="204"/>
      <c r="BS49" s="201">
        <f>EXP(BP49)</f>
        <v>0.18769664159345345</v>
      </c>
      <c r="BT49" s="201">
        <f>EXP(BQ49)</f>
        <v>0.90256881795783506</v>
      </c>
      <c r="BU49" s="205" t="str">
        <f>BA49</f>
        <v>0%</v>
      </c>
      <c r="BV49" s="205">
        <f>(BS49-1)/BS49</f>
        <v>-4.3277458323733713</v>
      </c>
      <c r="BW49" s="205">
        <f>(BT49-1)/BT49</f>
        <v>-0.10794875704061449</v>
      </c>
    </row>
    <row r="50" spans="1:256" ht="13.5" thickBot="1">
      <c r="B50" s="122"/>
      <c r="C50" s="382"/>
      <c r="D50" s="382"/>
      <c r="E50" s="382"/>
      <c r="F50" s="382"/>
      <c r="G50" s="382"/>
      <c r="H50" s="382"/>
      <c r="I50" s="80"/>
      <c r="J50" s="122"/>
      <c r="K50" s="122"/>
      <c r="L50" s="10"/>
      <c r="M50" s="10"/>
      <c r="N50" s="10"/>
      <c r="O50" s="10"/>
      <c r="P50" s="10"/>
      <c r="Q50" s="10"/>
      <c r="R50" s="206"/>
      <c r="S50" s="206"/>
      <c r="T50" s="206"/>
      <c r="U50" s="206"/>
      <c r="V50" s="206"/>
      <c r="W50" s="206"/>
      <c r="X50" s="206"/>
      <c r="Z50" s="10"/>
      <c r="AA50" s="10"/>
      <c r="AB50" s="207"/>
      <c r="AC50" s="208"/>
      <c r="AD50" s="208"/>
      <c r="AE50" s="208"/>
      <c r="AF50" s="210"/>
      <c r="AG50" s="210"/>
      <c r="AH50" s="210"/>
      <c r="AI50" s="2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211"/>
      <c r="AU50" s="211"/>
      <c r="AV50" s="211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212"/>
      <c r="BH50" s="10"/>
      <c r="BI50" s="10"/>
      <c r="BJ50" s="10"/>
      <c r="BK50" s="10"/>
      <c r="BN50" s="208" t="s">
        <v>203</v>
      </c>
      <c r="BT50" s="213" t="s">
        <v>204</v>
      </c>
      <c r="BU50" s="214" t="str">
        <f>BU49</f>
        <v>0%</v>
      </c>
      <c r="BV50" s="215" t="str">
        <f>IF(BV49&lt;0,"0%",BV49)</f>
        <v>0%</v>
      </c>
      <c r="BW50" s="216" t="str">
        <f>IF(BW49&lt;0,"0%",BW49)</f>
        <v>0%</v>
      </c>
    </row>
    <row r="51" spans="1:256" ht="15.75" thickBot="1">
      <c r="B51" s="116"/>
      <c r="C51" s="383"/>
      <c r="D51" s="383"/>
      <c r="E51" s="383"/>
      <c r="F51" s="383"/>
      <c r="G51" s="383"/>
      <c r="H51" s="383"/>
      <c r="I51" s="217"/>
      <c r="J51" s="116"/>
      <c r="K51" s="116"/>
      <c r="L51" s="10"/>
      <c r="M51" s="10"/>
      <c r="N51" s="10"/>
      <c r="O51" s="10"/>
      <c r="P51" s="10"/>
      <c r="Q51" s="10"/>
      <c r="R51" s="218"/>
      <c r="S51" s="218"/>
      <c r="T51" s="218"/>
      <c r="U51" s="218"/>
      <c r="V51" s="218"/>
      <c r="W51" s="218"/>
      <c r="X51" s="218"/>
      <c r="Z51" s="10"/>
      <c r="AA51" s="10"/>
      <c r="AB51" s="10"/>
      <c r="AC51" s="10"/>
      <c r="AD51" s="10"/>
      <c r="AE51" s="10"/>
      <c r="AF51" s="10"/>
      <c r="AG51" s="10"/>
      <c r="AH51" s="10"/>
      <c r="AI51" s="212"/>
      <c r="AJ51" s="26"/>
      <c r="AK51" s="26"/>
      <c r="AL51" s="219"/>
      <c r="AM51" s="220"/>
      <c r="AN51" s="221"/>
      <c r="AO51" s="222" t="s">
        <v>295</v>
      </c>
      <c r="AP51" s="223">
        <f>TINV(0.05,(AB49-2))</f>
        <v>3.1824463052837091</v>
      </c>
      <c r="AQ51" s="10"/>
      <c r="AR51" s="224"/>
      <c r="AS51" s="225" t="s">
        <v>205</v>
      </c>
      <c r="AT51" s="226">
        <f>EXP(AM49-AP51*SQRT((1/AD49)+AH49))</f>
        <v>0.75126730386025964</v>
      </c>
      <c r="AU51" s="227">
        <f>EXP(AM49+AP51*SQRT((1/AD49)+AH49))</f>
        <v>0.9699918562635309</v>
      </c>
      <c r="AV51" s="127"/>
      <c r="AW51" s="10"/>
      <c r="AX51" s="10"/>
      <c r="AY51" s="10"/>
      <c r="AZ51" s="10"/>
      <c r="BB51" s="10"/>
      <c r="BC51" s="10"/>
      <c r="BD51" s="10"/>
      <c r="BF51" s="228"/>
      <c r="BG51" s="212"/>
      <c r="BH51" s="212"/>
      <c r="BJ51" s="156"/>
      <c r="BK51" s="10"/>
      <c r="BL51" s="229"/>
      <c r="BM51" s="230"/>
      <c r="BN51" s="10"/>
      <c r="BQ51" s="229"/>
    </row>
    <row r="52" spans="1:256">
      <c r="B52" s="116"/>
      <c r="C52" s="383"/>
      <c r="D52" s="383"/>
      <c r="E52" s="383"/>
      <c r="F52" s="383"/>
      <c r="G52" s="383"/>
      <c r="H52" s="383"/>
      <c r="I52" s="217"/>
      <c r="J52" s="116"/>
      <c r="K52" s="116"/>
      <c r="L52" s="10"/>
      <c r="M52" s="10"/>
      <c r="N52" s="10"/>
      <c r="O52" s="10"/>
      <c r="P52" s="10"/>
      <c r="Q52" s="10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  <c r="BZ52" s="218"/>
      <c r="CA52" s="218"/>
      <c r="CB52" s="218"/>
      <c r="CC52" s="218"/>
      <c r="CD52" s="218"/>
      <c r="CE52" s="218"/>
      <c r="CF52" s="218"/>
      <c r="CG52" s="218"/>
      <c r="CH52" s="218"/>
    </row>
    <row r="53" spans="1:256">
      <c r="B53" s="122"/>
      <c r="C53" s="382"/>
      <c r="D53" s="382"/>
      <c r="E53" s="382"/>
      <c r="F53" s="382"/>
      <c r="G53" s="382"/>
      <c r="H53" s="382"/>
      <c r="I53" s="80"/>
      <c r="J53" s="416" t="s">
        <v>176</v>
      </c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8"/>
      <c r="X53" s="123"/>
      <c r="Y53" s="419" t="s">
        <v>177</v>
      </c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0"/>
      <c r="AN53" s="420"/>
      <c r="AO53" s="420"/>
      <c r="AP53" s="420"/>
      <c r="AQ53" s="420"/>
      <c r="AR53" s="420"/>
      <c r="AS53" s="420"/>
      <c r="AT53" s="420"/>
      <c r="AU53" s="421"/>
      <c r="AV53" s="123"/>
      <c r="AW53" s="416" t="s">
        <v>178</v>
      </c>
      <c r="AX53" s="417"/>
      <c r="AY53" s="417"/>
      <c r="AZ53" s="417"/>
      <c r="BA53" s="417"/>
      <c r="BB53" s="417"/>
      <c r="BC53" s="417"/>
      <c r="BD53" s="417"/>
      <c r="BE53" s="417"/>
      <c r="BF53" s="417"/>
      <c r="BG53" s="417"/>
      <c r="BH53" s="417"/>
      <c r="BI53" s="417"/>
      <c r="BJ53" s="417"/>
      <c r="BK53" s="417"/>
      <c r="BL53" s="417"/>
      <c r="BM53" s="417"/>
      <c r="BN53" s="417"/>
      <c r="BO53" s="417"/>
      <c r="BP53" s="417"/>
      <c r="BQ53" s="417"/>
      <c r="BR53" s="417"/>
      <c r="BS53" s="417"/>
      <c r="BT53" s="417"/>
      <c r="BU53" s="417"/>
      <c r="BV53" s="417"/>
      <c r="BW53" s="418"/>
    </row>
    <row r="54" spans="1:256">
      <c r="A54" s="124"/>
      <c r="B54" s="71" t="s">
        <v>155</v>
      </c>
      <c r="C54" s="415" t="s">
        <v>156</v>
      </c>
      <c r="D54" s="415"/>
      <c r="E54" s="415"/>
      <c r="F54" s="415" t="s">
        <v>157</v>
      </c>
      <c r="G54" s="415"/>
      <c r="H54" s="415"/>
      <c r="I54" s="125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126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12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</row>
    <row r="55" spans="1:256" ht="65.25">
      <c r="B55" s="72" t="s">
        <v>28</v>
      </c>
      <c r="C55" s="380" t="s">
        <v>158</v>
      </c>
      <c r="D55" s="380" t="s">
        <v>159</v>
      </c>
      <c r="E55" s="380" t="s">
        <v>1</v>
      </c>
      <c r="F55" s="380" t="s">
        <v>158</v>
      </c>
      <c r="G55" s="380" t="s">
        <v>159</v>
      </c>
      <c r="H55" s="380" t="s">
        <v>1</v>
      </c>
      <c r="I55" s="127"/>
      <c r="K55" s="128" t="s">
        <v>266</v>
      </c>
      <c r="L55" s="128" t="s">
        <v>267</v>
      </c>
      <c r="M55" s="128" t="s">
        <v>268</v>
      </c>
      <c r="N55" s="129" t="s">
        <v>269</v>
      </c>
      <c r="O55" s="129" t="s">
        <v>179</v>
      </c>
      <c r="P55" s="129" t="s">
        <v>180</v>
      </c>
      <c r="Q55" s="130" t="s">
        <v>181</v>
      </c>
      <c r="R55" s="128" t="s">
        <v>182</v>
      </c>
      <c r="S55" s="131" t="s">
        <v>183</v>
      </c>
      <c r="T55" s="131" t="s">
        <v>184</v>
      </c>
      <c r="U55" s="131" t="s">
        <v>185</v>
      </c>
      <c r="V55" s="132" t="s">
        <v>161</v>
      </c>
      <c r="W55" s="133" t="s">
        <v>162</v>
      </c>
      <c r="X55" s="134"/>
      <c r="Y55" s="81"/>
      <c r="Z55" s="135" t="s">
        <v>186</v>
      </c>
      <c r="AA55" s="129" t="s">
        <v>270</v>
      </c>
      <c r="AB55" s="136" t="s">
        <v>187</v>
      </c>
      <c r="AC55" s="136" t="s">
        <v>188</v>
      </c>
      <c r="AD55" s="136" t="s">
        <v>271</v>
      </c>
      <c r="AE55" s="129" t="s">
        <v>272</v>
      </c>
      <c r="AF55" s="129" t="s">
        <v>273</v>
      </c>
      <c r="AG55" s="137" t="s">
        <v>274</v>
      </c>
      <c r="AH55" s="137" t="s">
        <v>275</v>
      </c>
      <c r="AI55" s="136" t="s">
        <v>276</v>
      </c>
      <c r="AJ55" s="129" t="s">
        <v>277</v>
      </c>
      <c r="AK55" s="129" t="s">
        <v>278</v>
      </c>
      <c r="AL55" s="129" t="s">
        <v>279</v>
      </c>
      <c r="AM55" s="136" t="s">
        <v>189</v>
      </c>
      <c r="AN55" s="138" t="s">
        <v>190</v>
      </c>
      <c r="AO55" s="129" t="s">
        <v>191</v>
      </c>
      <c r="AP55" s="129" t="s">
        <v>192</v>
      </c>
      <c r="AQ55" s="139" t="s">
        <v>183</v>
      </c>
      <c r="AR55" s="131" t="s">
        <v>193</v>
      </c>
      <c r="AS55" s="131" t="s">
        <v>194</v>
      </c>
      <c r="AT55" s="132" t="s">
        <v>161</v>
      </c>
      <c r="AU55" s="133" t="s">
        <v>162</v>
      </c>
      <c r="AV55" s="134"/>
      <c r="AX55" s="140" t="s">
        <v>195</v>
      </c>
      <c r="AY55" s="140" t="s">
        <v>187</v>
      </c>
      <c r="AZ55" s="141" t="s">
        <v>280</v>
      </c>
      <c r="BA55" s="142" t="s">
        <v>281</v>
      </c>
      <c r="BC55" s="136" t="s">
        <v>282</v>
      </c>
      <c r="BD55" s="136" t="s">
        <v>283</v>
      </c>
      <c r="BE55" s="136" t="s">
        <v>196</v>
      </c>
      <c r="BF55" s="136" t="s">
        <v>197</v>
      </c>
      <c r="BG55" s="136" t="s">
        <v>198</v>
      </c>
      <c r="BH55" s="136" t="s">
        <v>199</v>
      </c>
      <c r="BI55" s="136" t="s">
        <v>200</v>
      </c>
      <c r="BJ55" s="136" t="s">
        <v>284</v>
      </c>
      <c r="BK55" s="136" t="s">
        <v>201</v>
      </c>
      <c r="BL55" s="136" t="s">
        <v>202</v>
      </c>
      <c r="BM55" s="143" t="s">
        <v>285</v>
      </c>
      <c r="BN55" s="143" t="s">
        <v>286</v>
      </c>
      <c r="BO55" s="143" t="s">
        <v>287</v>
      </c>
      <c r="BP55" s="143" t="s">
        <v>288</v>
      </c>
      <c r="BQ55" s="143" t="s">
        <v>289</v>
      </c>
      <c r="BR55" s="144"/>
      <c r="BS55" s="131" t="s">
        <v>290</v>
      </c>
      <c r="BT55" s="131" t="s">
        <v>291</v>
      </c>
      <c r="BU55" s="130" t="s">
        <v>292</v>
      </c>
      <c r="BV55" s="132" t="s">
        <v>293</v>
      </c>
      <c r="BW55" s="133" t="s">
        <v>294</v>
      </c>
    </row>
    <row r="56" spans="1:256">
      <c r="B56" s="145" t="s">
        <v>3</v>
      </c>
      <c r="C56" s="357">
        <v>76</v>
      </c>
      <c r="D56" s="277">
        <v>5052</v>
      </c>
      <c r="E56" s="358">
        <v>5128</v>
      </c>
      <c r="F56" s="357">
        <v>72</v>
      </c>
      <c r="G56" s="277">
        <v>5051</v>
      </c>
      <c r="H56" s="358">
        <v>5123</v>
      </c>
      <c r="I56" s="146"/>
      <c r="K56" s="147">
        <f>(C56/E56)/(F56/H56)</f>
        <v>1.0545263477205755</v>
      </c>
      <c r="L56" s="148">
        <f>(D56/(C56*E56)+(G56/(F56*H56)))</f>
        <v>2.6656577699320991E-2</v>
      </c>
      <c r="M56" s="149">
        <f>1/L56</f>
        <v>37.514192980049067</v>
      </c>
      <c r="N56" s="150">
        <f>LN(K56)</f>
        <v>5.3091706608972111E-2</v>
      </c>
      <c r="O56" s="150">
        <f>M56*N56</f>
        <v>1.9916925273691262</v>
      </c>
      <c r="P56" s="150">
        <f>LN(K56)</f>
        <v>5.3091706608972111E-2</v>
      </c>
      <c r="Q56" s="236">
        <f>K56</f>
        <v>1.0545263477205755</v>
      </c>
      <c r="R56" s="151">
        <f>SQRT(1/M56)</f>
        <v>0.16326842223565766</v>
      </c>
      <c r="S56" s="152">
        <f>-NORMSINV(2.5/100)</f>
        <v>1.9599639845400538</v>
      </c>
      <c r="T56" s="153">
        <f>P56-(R56*S56)</f>
        <v>-0.2669085207855954</v>
      </c>
      <c r="U56" s="153">
        <f>P56+(R56*S56)</f>
        <v>0.37309193400353963</v>
      </c>
      <c r="V56" s="154">
        <f>EXP(T56)</f>
        <v>0.76574311784028715</v>
      </c>
      <c r="W56" s="155">
        <f>EXP(U56)</f>
        <v>1.4522178418962088</v>
      </c>
      <c r="X56" s="156"/>
      <c r="Z56" s="157">
        <f>(N56-P171)^2</f>
        <v>2.8187293106531727E-3</v>
      </c>
      <c r="AA56" s="158">
        <f>M56*Z56</f>
        <v>0.1057423553183638</v>
      </c>
      <c r="AB56" s="159">
        <v>1</v>
      </c>
      <c r="AC56" s="144"/>
      <c r="AD56" s="144"/>
      <c r="AE56" s="149">
        <f>M56^2</f>
        <v>1407.3146749443627</v>
      </c>
      <c r="AF56" s="160"/>
      <c r="AG56" s="161">
        <f>AG61</f>
        <v>-8.088874841781564E-3</v>
      </c>
      <c r="AH56" s="161" t="str">
        <f>AH61</f>
        <v>0</v>
      </c>
      <c r="AI56" s="158">
        <f>1/M56</f>
        <v>2.6656577699320991E-2</v>
      </c>
      <c r="AJ56" s="162">
        <f>1/(AH56+AI56)</f>
        <v>37.514192980049067</v>
      </c>
      <c r="AK56" s="163">
        <f>AJ56/AJ61</f>
        <v>0.13175083575099172</v>
      </c>
      <c r="AL56" s="164">
        <f>AJ56*N56</f>
        <v>1.9916925273691262</v>
      </c>
      <c r="AM56" s="165">
        <f>AL56/AJ56</f>
        <v>5.3091706608972111E-2</v>
      </c>
      <c r="AN56" s="155">
        <f>EXP(AM56)</f>
        <v>1.0545263477205755</v>
      </c>
      <c r="AO56" s="166">
        <f>1/AJ56</f>
        <v>2.6656577699320991E-2</v>
      </c>
      <c r="AP56" s="155">
        <f>SQRT(AO56)</f>
        <v>0.16326842223565766</v>
      </c>
      <c r="AQ56" s="167">
        <f>-NORMSINV(2.5/100)</f>
        <v>1.9599639845400538</v>
      </c>
      <c r="AR56" s="153">
        <f>AM56-(AQ56*AP56)</f>
        <v>-0.2669085207855954</v>
      </c>
      <c r="AS56" s="153">
        <f>AM56+(1.96*AP56)</f>
        <v>0.37309781419086113</v>
      </c>
      <c r="AT56" s="168">
        <f>EXP(AR56)</f>
        <v>0.76574311784028715</v>
      </c>
      <c r="AU56" s="168">
        <f>EXP(AS56)</f>
        <v>1.4522263812342573</v>
      </c>
      <c r="AV56" s="127"/>
      <c r="AX56" s="169"/>
      <c r="AY56" s="169">
        <v>1</v>
      </c>
      <c r="AZ56" s="170"/>
      <c r="BA56" s="170"/>
      <c r="BC56" s="144"/>
      <c r="BD56" s="144"/>
      <c r="BE56" s="159"/>
      <c r="BF56" s="159"/>
      <c r="BG56" s="159"/>
      <c r="BH56" s="159"/>
      <c r="BI56" s="159"/>
      <c r="BJ56" s="159"/>
      <c r="BK56" s="159"/>
      <c r="BL56" s="159"/>
      <c r="BM56" s="144"/>
      <c r="BN56" s="144"/>
      <c r="BO56" s="144"/>
      <c r="BP56" s="144"/>
      <c r="BQ56" s="144"/>
      <c r="BR56" s="144"/>
      <c r="BS56" s="171"/>
      <c r="BT56" s="171"/>
      <c r="BU56" s="171"/>
      <c r="BV56" s="144"/>
      <c r="BW56" s="144"/>
    </row>
    <row r="57" spans="1:256">
      <c r="B57" s="145" t="s">
        <v>4</v>
      </c>
      <c r="C57" s="357">
        <v>238</v>
      </c>
      <c r="D57" s="277">
        <v>5333</v>
      </c>
      <c r="E57" s="358">
        <v>5571</v>
      </c>
      <c r="F57" s="357">
        <v>246</v>
      </c>
      <c r="G57" s="277">
        <v>5323</v>
      </c>
      <c r="H57" s="358">
        <v>5569</v>
      </c>
      <c r="I57" s="146"/>
      <c r="K57" s="147">
        <f t="shared" ref="K57:K60" si="103">(C57/E57)/(F57/H57)</f>
        <v>0.96713234768319678</v>
      </c>
      <c r="L57" s="148">
        <f t="shared" ref="L57:L60" si="104">(D57/(C57*E57)+(G57/(F57*H57)))</f>
        <v>7.9076548838128719E-3</v>
      </c>
      <c r="M57" s="149">
        <f t="shared" ref="M57:M60" si="105">1/L57</f>
        <v>126.45974245120637</v>
      </c>
      <c r="N57" s="150">
        <f t="shared" ref="N57:N60" si="106">LN(K57)</f>
        <v>-3.3419928692035021E-2</v>
      </c>
      <c r="O57" s="150">
        <f t="shared" ref="O57:O60" si="107">M57*N57</f>
        <v>-4.2262755751324308</v>
      </c>
      <c r="P57" s="150">
        <f t="shared" ref="P57:P60" si="108">LN(K57)</f>
        <v>-3.3419928692035021E-2</v>
      </c>
      <c r="Q57" s="236">
        <f t="shared" ref="Q57:Q60" si="109">K57</f>
        <v>0.96713234768319678</v>
      </c>
      <c r="R57" s="151">
        <f t="shared" ref="R57:R60" si="110">SQRT(1/M57)</f>
        <v>8.8924995832515341E-2</v>
      </c>
      <c r="S57" s="152">
        <f t="shared" ref="S57:S60" si="111">-NORMSINV(2.5/100)</f>
        <v>1.9599639845400538</v>
      </c>
      <c r="T57" s="153">
        <f t="shared" ref="T57:T60" si="112">P57-(R57*S57)</f>
        <v>-0.20770971784913947</v>
      </c>
      <c r="U57" s="153">
        <f t="shared" ref="U57:U60" si="113">P57+(R57*S57)</f>
        <v>0.14086986046506941</v>
      </c>
      <c r="V57" s="154">
        <f t="shared" ref="V57:W60" si="114">EXP(T57)</f>
        <v>0.81244284014060719</v>
      </c>
      <c r="W57" s="155">
        <f t="shared" si="114"/>
        <v>1.1512748118665606</v>
      </c>
      <c r="X57" s="156"/>
      <c r="Z57" s="157">
        <f>(N57-P61)^2</f>
        <v>3.1098893610565957E-4</v>
      </c>
      <c r="AA57" s="158">
        <f t="shared" ref="AA57:AA60" si="115">M57*Z57</f>
        <v>3.9327580765096383E-2</v>
      </c>
      <c r="AB57" s="159">
        <v>1</v>
      </c>
      <c r="AC57" s="144"/>
      <c r="AD57" s="144"/>
      <c r="AE57" s="149">
        <f t="shared" ref="AE57:AE60" si="116">M57^2</f>
        <v>15992.066460825446</v>
      </c>
      <c r="AF57" s="160"/>
      <c r="AG57" s="161">
        <f>AG61</f>
        <v>-8.088874841781564E-3</v>
      </c>
      <c r="AH57" s="161" t="str">
        <f>AH61</f>
        <v>0</v>
      </c>
      <c r="AI57" s="158">
        <f t="shared" ref="AI57:AI60" si="117">1/M57</f>
        <v>7.9076548838128719E-3</v>
      </c>
      <c r="AJ57" s="162">
        <f t="shared" ref="AJ57:AJ60" si="118">1/(AH57+AI57)</f>
        <v>126.45974245120637</v>
      </c>
      <c r="AK57" s="163">
        <f>AJ57/AJ61</f>
        <v>0.44412995277980288</v>
      </c>
      <c r="AL57" s="164">
        <f t="shared" ref="AL57:AL60" si="119">AJ57*N57</f>
        <v>-4.2262755751324308</v>
      </c>
      <c r="AM57" s="165">
        <f t="shared" ref="AM57:AM60" si="120">AL57/AJ57</f>
        <v>-3.3419928692035021E-2</v>
      </c>
      <c r="AN57" s="155">
        <f t="shared" ref="AN57:AN60" si="121">EXP(AM57)</f>
        <v>0.96713234768319678</v>
      </c>
      <c r="AO57" s="166">
        <f t="shared" ref="AO57:AO60" si="122">1/AJ57</f>
        <v>7.9076548838128719E-3</v>
      </c>
      <c r="AP57" s="155">
        <f t="shared" ref="AP57:AP60" si="123">SQRT(AO57)</f>
        <v>8.8924995832515341E-2</v>
      </c>
      <c r="AQ57" s="167">
        <f t="shared" ref="AQ57:AQ60" si="124">-NORMSINV(2.5/100)</f>
        <v>1.9599639845400538</v>
      </c>
      <c r="AR57" s="153">
        <f t="shared" ref="AR57:AR60" si="125">AM57-(AQ57*AP57)</f>
        <v>-0.20770971784913947</v>
      </c>
      <c r="AS57" s="153">
        <f t="shared" ref="AS57:AS60" si="126">AM57+(1.96*AP57)</f>
        <v>0.14087306313969503</v>
      </c>
      <c r="AT57" s="168">
        <f t="shared" ref="AT57:AU60" si="127">EXP(AR57)</f>
        <v>0.81244284014060719</v>
      </c>
      <c r="AU57" s="168">
        <f t="shared" si="127"/>
        <v>1.151278499031092</v>
      </c>
      <c r="AV57" s="127"/>
      <c r="AX57" s="169"/>
      <c r="AY57" s="169">
        <v>1</v>
      </c>
      <c r="AZ57" s="170"/>
      <c r="BA57" s="170"/>
      <c r="BC57" s="144"/>
      <c r="BD57" s="144"/>
      <c r="BE57" s="159"/>
      <c r="BF57" s="159"/>
      <c r="BG57" s="159"/>
      <c r="BH57" s="159"/>
      <c r="BI57" s="159"/>
      <c r="BJ57" s="159"/>
      <c r="BK57" s="159"/>
      <c r="BL57" s="159"/>
      <c r="BM57" s="144"/>
      <c r="BN57" s="144"/>
      <c r="BO57" s="144"/>
      <c r="BP57" s="144"/>
      <c r="BQ57" s="144"/>
      <c r="BR57" s="144"/>
      <c r="BS57" s="171"/>
      <c r="BT57" s="171"/>
      <c r="BU57" s="171"/>
      <c r="BV57" s="144"/>
      <c r="BW57" s="144"/>
    </row>
    <row r="58" spans="1:256">
      <c r="B58" s="145" t="s">
        <v>259</v>
      </c>
      <c r="C58" s="357">
        <v>86</v>
      </c>
      <c r="D58" s="277">
        <v>2519</v>
      </c>
      <c r="E58" s="358">
        <v>2605</v>
      </c>
      <c r="F58" s="357">
        <v>107</v>
      </c>
      <c r="G58" s="277">
        <v>2526</v>
      </c>
      <c r="H58" s="358">
        <v>2633</v>
      </c>
      <c r="I58" s="146"/>
      <c r="K58" s="147">
        <f t="shared" si="103"/>
        <v>0.81237734765996372</v>
      </c>
      <c r="L58" s="148">
        <f t="shared" si="104"/>
        <v>2.0210029299210334E-2</v>
      </c>
      <c r="M58" s="149">
        <f t="shared" si="105"/>
        <v>49.480383486582724</v>
      </c>
      <c r="N58" s="150">
        <f t="shared" si="106"/>
        <v>-0.2077903328995564</v>
      </c>
      <c r="O58" s="150">
        <f t="shared" si="107"/>
        <v>-10.281545356674737</v>
      </c>
      <c r="P58" s="150">
        <f t="shared" si="108"/>
        <v>-0.2077903328995564</v>
      </c>
      <c r="Q58" s="236">
        <f t="shared" si="109"/>
        <v>0.81237734765996372</v>
      </c>
      <c r="R58" s="151">
        <f t="shared" si="110"/>
        <v>0.1421619826086086</v>
      </c>
      <c r="S58" s="152">
        <f t="shared" si="111"/>
        <v>1.9599639845400538</v>
      </c>
      <c r="T58" s="153">
        <f t="shared" si="112"/>
        <v>-0.48642269878323874</v>
      </c>
      <c r="U58" s="153">
        <f t="shared" si="113"/>
        <v>7.0842032984125947E-2</v>
      </c>
      <c r="V58" s="154">
        <f t="shared" si="114"/>
        <v>0.61482186792388716</v>
      </c>
      <c r="W58" s="155">
        <f t="shared" si="114"/>
        <v>1.0734116488399497</v>
      </c>
      <c r="X58" s="156"/>
      <c r="Z58" s="157">
        <f>(N58-P61)^2</f>
        <v>2.4566025050845691E-2</v>
      </c>
      <c r="AA58" s="158">
        <f t="shared" si="115"/>
        <v>1.2155363402568427</v>
      </c>
      <c r="AB58" s="159">
        <v>1</v>
      </c>
      <c r="AC58" s="144"/>
      <c r="AD58" s="144"/>
      <c r="AE58" s="149">
        <f t="shared" si="116"/>
        <v>2448.3083499792883</v>
      </c>
      <c r="AF58" s="160"/>
      <c r="AG58" s="161">
        <f>AG61</f>
        <v>-8.088874841781564E-3</v>
      </c>
      <c r="AH58" s="161" t="str">
        <f>AH61</f>
        <v>0</v>
      </c>
      <c r="AI58" s="158">
        <f t="shared" si="117"/>
        <v>2.0210029299210334E-2</v>
      </c>
      <c r="AJ58" s="162">
        <f t="shared" si="118"/>
        <v>49.480383486582724</v>
      </c>
      <c r="AK58" s="163">
        <f>AJ58/AJ61</f>
        <v>0.17377641259946189</v>
      </c>
      <c r="AL58" s="164">
        <f t="shared" si="119"/>
        <v>-10.281545356674737</v>
      </c>
      <c r="AM58" s="165">
        <f t="shared" si="120"/>
        <v>-0.2077903328995564</v>
      </c>
      <c r="AN58" s="155">
        <f t="shared" si="121"/>
        <v>0.81237734765996372</v>
      </c>
      <c r="AO58" s="166">
        <f t="shared" si="122"/>
        <v>2.0210029299210334E-2</v>
      </c>
      <c r="AP58" s="155">
        <f t="shared" si="123"/>
        <v>0.1421619826086086</v>
      </c>
      <c r="AQ58" s="167">
        <f t="shared" si="124"/>
        <v>1.9599639845400538</v>
      </c>
      <c r="AR58" s="153">
        <f t="shared" si="125"/>
        <v>-0.48642269878323874</v>
      </c>
      <c r="AS58" s="153">
        <f t="shared" si="126"/>
        <v>7.0847153013316455E-2</v>
      </c>
      <c r="AT58" s="168">
        <f t="shared" si="127"/>
        <v>0.61482186792388716</v>
      </c>
      <c r="AU58" s="168">
        <f t="shared" si="127"/>
        <v>1.0734171447529948</v>
      </c>
      <c r="AV58" s="127"/>
      <c r="AX58" s="169"/>
      <c r="AY58" s="169">
        <v>1</v>
      </c>
      <c r="AZ58" s="170"/>
      <c r="BA58" s="170"/>
      <c r="BC58" s="144"/>
      <c r="BD58" s="144"/>
      <c r="BE58" s="159"/>
      <c r="BF58" s="159"/>
      <c r="BG58" s="159"/>
      <c r="BH58" s="159"/>
      <c r="BI58" s="159"/>
      <c r="BJ58" s="159"/>
      <c r="BK58" s="159"/>
      <c r="BL58" s="159"/>
      <c r="BM58" s="144"/>
      <c r="BN58" s="144"/>
      <c r="BO58" s="144"/>
      <c r="BP58" s="144"/>
      <c r="BQ58" s="144"/>
      <c r="BR58" s="144"/>
      <c r="BS58" s="171"/>
      <c r="BT58" s="171"/>
      <c r="BU58" s="171"/>
      <c r="BV58" s="144"/>
      <c r="BW58" s="144"/>
    </row>
    <row r="59" spans="1:256">
      <c r="B59" s="145" t="s">
        <v>5</v>
      </c>
      <c r="C59" s="357">
        <v>160</v>
      </c>
      <c r="D59" s="277">
        <v>2911</v>
      </c>
      <c r="E59" s="358">
        <v>3071</v>
      </c>
      <c r="F59" s="357">
        <v>78</v>
      </c>
      <c r="G59" s="277">
        <v>1471</v>
      </c>
      <c r="H59" s="358">
        <v>1549</v>
      </c>
      <c r="I59" s="146"/>
      <c r="K59" s="147">
        <f t="shared" si="103"/>
        <v>1.0346583840559744</v>
      </c>
      <c r="L59" s="148">
        <f t="shared" si="104"/>
        <v>1.809930819673794E-2</v>
      </c>
      <c r="M59" s="149">
        <f t="shared" si="105"/>
        <v>55.250730532354339</v>
      </c>
      <c r="N59" s="150">
        <f t="shared" si="106"/>
        <v>3.4071308520281465E-2</v>
      </c>
      <c r="O59" s="150">
        <f t="shared" si="107"/>
        <v>1.8824646859387797</v>
      </c>
      <c r="P59" s="150">
        <f t="shared" si="108"/>
        <v>3.4071308520281465E-2</v>
      </c>
      <c r="Q59" s="236">
        <f t="shared" si="109"/>
        <v>1.0346583840559744</v>
      </c>
      <c r="R59" s="151">
        <f t="shared" si="110"/>
        <v>0.13453366937959413</v>
      </c>
      <c r="S59" s="152">
        <f t="shared" si="111"/>
        <v>1.9599639845400538</v>
      </c>
      <c r="T59" s="153">
        <f t="shared" si="112"/>
        <v>-0.22960983817174208</v>
      </c>
      <c r="U59" s="153">
        <f t="shared" si="113"/>
        <v>0.29775245521230498</v>
      </c>
      <c r="V59" s="154">
        <f t="shared" si="114"/>
        <v>0.79484365966860104</v>
      </c>
      <c r="W59" s="155">
        <f t="shared" si="114"/>
        <v>1.346828346273351</v>
      </c>
      <c r="X59" s="156"/>
      <c r="Z59" s="157">
        <f>(N59-P61)^2</f>
        <v>7.2464555588691694E-3</v>
      </c>
      <c r="AA59" s="158">
        <f t="shared" si="115"/>
        <v>0.40037196339776165</v>
      </c>
      <c r="AB59" s="159">
        <v>1</v>
      </c>
      <c r="AC59" s="144"/>
      <c r="AD59" s="144"/>
      <c r="AE59" s="149">
        <f t="shared" si="116"/>
        <v>3052.643224358832</v>
      </c>
      <c r="AF59" s="160"/>
      <c r="AG59" s="161">
        <f>AG61</f>
        <v>-8.088874841781564E-3</v>
      </c>
      <c r="AH59" s="161" t="str">
        <f>AH61</f>
        <v>0</v>
      </c>
      <c r="AI59" s="158">
        <f t="shared" si="117"/>
        <v>1.809930819673794E-2</v>
      </c>
      <c r="AJ59" s="162">
        <f t="shared" si="118"/>
        <v>55.250730532354339</v>
      </c>
      <c r="AK59" s="163">
        <f>AJ59/AJ61</f>
        <v>0.19404202370451737</v>
      </c>
      <c r="AL59" s="164">
        <f t="shared" si="119"/>
        <v>1.8824646859387797</v>
      </c>
      <c r="AM59" s="165">
        <f t="shared" si="120"/>
        <v>3.4071308520281465E-2</v>
      </c>
      <c r="AN59" s="155">
        <f t="shared" si="121"/>
        <v>1.0346583840559744</v>
      </c>
      <c r="AO59" s="166">
        <f t="shared" si="122"/>
        <v>1.809930819673794E-2</v>
      </c>
      <c r="AP59" s="155">
        <f t="shared" si="123"/>
        <v>0.13453366937959413</v>
      </c>
      <c r="AQ59" s="167">
        <f t="shared" si="124"/>
        <v>1.9599639845400538</v>
      </c>
      <c r="AR59" s="153">
        <f t="shared" si="125"/>
        <v>-0.22960983817174208</v>
      </c>
      <c r="AS59" s="153">
        <f t="shared" si="126"/>
        <v>0.29775730050428595</v>
      </c>
      <c r="AT59" s="168">
        <f t="shared" si="127"/>
        <v>0.79484365966860104</v>
      </c>
      <c r="AU59" s="168">
        <f t="shared" si="127"/>
        <v>1.3468348720657468</v>
      </c>
      <c r="AV59" s="127"/>
      <c r="AX59" s="169"/>
      <c r="AY59" s="169">
        <v>1</v>
      </c>
      <c r="AZ59" s="170"/>
      <c r="BA59" s="170"/>
      <c r="BC59" s="144"/>
      <c r="BD59" s="144"/>
      <c r="BE59" s="159"/>
      <c r="BF59" s="159"/>
      <c r="BG59" s="159"/>
      <c r="BH59" s="159"/>
      <c r="BI59" s="159"/>
      <c r="BJ59" s="159"/>
      <c r="BK59" s="159"/>
      <c r="BL59" s="159"/>
      <c r="BM59" s="144"/>
      <c r="BN59" s="144"/>
      <c r="BO59" s="144"/>
      <c r="BP59" s="144"/>
      <c r="BQ59" s="144"/>
      <c r="BR59" s="144"/>
      <c r="BS59" s="171"/>
      <c r="BT59" s="171"/>
      <c r="BU59" s="171"/>
      <c r="BV59" s="144"/>
      <c r="BW59" s="144"/>
    </row>
    <row r="60" spans="1:256">
      <c r="B60" s="145" t="s">
        <v>6</v>
      </c>
      <c r="C60" s="357">
        <v>28</v>
      </c>
      <c r="D60" s="277">
        <v>892</v>
      </c>
      <c r="E60" s="358">
        <v>892</v>
      </c>
      <c r="F60" s="357">
        <v>36</v>
      </c>
      <c r="G60" s="277">
        <v>863</v>
      </c>
      <c r="H60" s="358">
        <v>899</v>
      </c>
      <c r="I60" s="146"/>
      <c r="K60" s="147">
        <f t="shared" si="103"/>
        <v>0.78388141504733433</v>
      </c>
      <c r="L60" s="148">
        <f t="shared" si="104"/>
        <v>6.2379716439783184E-2</v>
      </c>
      <c r="M60" s="149">
        <f t="shared" si="105"/>
        <v>16.030851967166711</v>
      </c>
      <c r="N60" s="150">
        <f t="shared" si="106"/>
        <v>-0.24349752638929517</v>
      </c>
      <c r="O60" s="150">
        <f t="shared" si="107"/>
        <v>-3.9034727999180605</v>
      </c>
      <c r="P60" s="150">
        <f t="shared" si="108"/>
        <v>-0.24349752638929517</v>
      </c>
      <c r="Q60" s="236">
        <f t="shared" si="109"/>
        <v>0.78388141504733433</v>
      </c>
      <c r="R60" s="151">
        <f t="shared" si="110"/>
        <v>0.24975931702297552</v>
      </c>
      <c r="S60" s="152">
        <f t="shared" si="111"/>
        <v>1.9599639845400538</v>
      </c>
      <c r="T60" s="153">
        <f t="shared" si="112"/>
        <v>-0.73301679255764873</v>
      </c>
      <c r="U60" s="153">
        <f t="shared" si="113"/>
        <v>0.24602173977905845</v>
      </c>
      <c r="V60" s="154">
        <f t="shared" si="114"/>
        <v>0.48045736136774125</v>
      </c>
      <c r="W60" s="155">
        <f t="shared" si="114"/>
        <v>1.2789273768381226</v>
      </c>
      <c r="X60" s="156"/>
      <c r="Z60" s="157">
        <f>(N60-P61)^2</f>
        <v>3.703420021136572E-2</v>
      </c>
      <c r="AA60" s="158">
        <f t="shared" si="115"/>
        <v>0.59368978131081795</v>
      </c>
      <c r="AB60" s="159">
        <v>1</v>
      </c>
      <c r="AC60" s="144"/>
      <c r="AD60" s="144"/>
      <c r="AE60" s="149">
        <f t="shared" si="116"/>
        <v>256.98821479321282</v>
      </c>
      <c r="AF60" s="160"/>
      <c r="AG60" s="161">
        <f>AG61</f>
        <v>-8.088874841781564E-3</v>
      </c>
      <c r="AH60" s="161" t="str">
        <f>AH61</f>
        <v>0</v>
      </c>
      <c r="AI60" s="158">
        <f t="shared" si="117"/>
        <v>6.2379716439783191E-2</v>
      </c>
      <c r="AJ60" s="162">
        <f t="shared" si="118"/>
        <v>16.030851967166711</v>
      </c>
      <c r="AK60" s="163">
        <f>AJ60/AJ61</f>
        <v>5.6300775165226052E-2</v>
      </c>
      <c r="AL60" s="164">
        <f t="shared" si="119"/>
        <v>-3.9034727999180605</v>
      </c>
      <c r="AM60" s="165">
        <f t="shared" si="120"/>
        <v>-0.24349752638929517</v>
      </c>
      <c r="AN60" s="155">
        <f t="shared" si="121"/>
        <v>0.78388141504733433</v>
      </c>
      <c r="AO60" s="166">
        <f t="shared" si="122"/>
        <v>6.2379716439783191E-2</v>
      </c>
      <c r="AP60" s="155">
        <f t="shared" si="123"/>
        <v>0.24975931702297552</v>
      </c>
      <c r="AQ60" s="167">
        <f t="shared" si="124"/>
        <v>1.9599639845400538</v>
      </c>
      <c r="AR60" s="153">
        <f t="shared" si="125"/>
        <v>-0.73301679255764873</v>
      </c>
      <c r="AS60" s="153">
        <f t="shared" si="126"/>
        <v>0.24603073497573685</v>
      </c>
      <c r="AT60" s="168">
        <f t="shared" si="127"/>
        <v>0.48045736136774125</v>
      </c>
      <c r="AU60" s="168">
        <f t="shared" si="127"/>
        <v>1.2789388810931561</v>
      </c>
      <c r="AV60" s="127"/>
      <c r="AX60" s="169"/>
      <c r="AY60" s="169">
        <v>1</v>
      </c>
      <c r="AZ60" s="170"/>
      <c r="BA60" s="170"/>
      <c r="BC60" s="144"/>
      <c r="BD60" s="144"/>
      <c r="BE60" s="159"/>
      <c r="BF60" s="159"/>
      <c r="BG60" s="159"/>
      <c r="BH60" s="159"/>
      <c r="BI60" s="159"/>
      <c r="BJ60" s="159"/>
      <c r="BK60" s="159"/>
      <c r="BL60" s="159"/>
      <c r="BM60" s="144"/>
      <c r="BN60" s="144"/>
      <c r="BO60" s="144"/>
      <c r="BP60" s="144"/>
      <c r="BQ60" s="144"/>
      <c r="BR60" s="144"/>
      <c r="BS60" s="171"/>
      <c r="BT60" s="171"/>
      <c r="BU60" s="171"/>
      <c r="BV60" s="144"/>
      <c r="BW60" s="144"/>
    </row>
    <row r="61" spans="1:256">
      <c r="B61" s="77">
        <f>COUNT(C56:C60)</f>
        <v>5</v>
      </c>
      <c r="C61" s="359">
        <f t="shared" ref="C61:H61" si="128">SUM(C56:C60)</f>
        <v>588</v>
      </c>
      <c r="D61" s="359">
        <f t="shared" si="128"/>
        <v>16707</v>
      </c>
      <c r="E61" s="359">
        <f t="shared" si="128"/>
        <v>17267</v>
      </c>
      <c r="F61" s="359">
        <f t="shared" si="128"/>
        <v>539</v>
      </c>
      <c r="G61" s="359">
        <f t="shared" si="128"/>
        <v>15234</v>
      </c>
      <c r="H61" s="359">
        <f t="shared" si="128"/>
        <v>15773</v>
      </c>
      <c r="I61" s="82"/>
      <c r="K61" s="172"/>
      <c r="L61" s="238"/>
      <c r="M61" s="174">
        <f>SUM(M56:M60)</f>
        <v>284.73590141735923</v>
      </c>
      <c r="N61" s="175"/>
      <c r="O61" s="176">
        <f>SUM(O56:O60)</f>
        <v>-14.537136518417324</v>
      </c>
      <c r="P61" s="177">
        <f>O61/M61</f>
        <v>-5.1054807089848248E-2</v>
      </c>
      <c r="Q61" s="178">
        <f>EXP(P61)</f>
        <v>0.95022658995115583</v>
      </c>
      <c r="R61" s="78">
        <f>SQRT(1/M61)</f>
        <v>5.9262352215776831E-2</v>
      </c>
      <c r="S61" s="152">
        <f>-NORMSINV(2.5/100)</f>
        <v>1.9599639845400538</v>
      </c>
      <c r="T61" s="179">
        <f>P61-(R61*S61)</f>
        <v>-0.16720688307189829</v>
      </c>
      <c r="U61" s="179">
        <f>P61+(R61*S61)</f>
        <v>6.5097268892201798E-2</v>
      </c>
      <c r="V61" s="180">
        <f>EXP(T61)</f>
        <v>0.84602456506983481</v>
      </c>
      <c r="W61" s="181">
        <f>EXP(U61)</f>
        <v>1.0672628308087837</v>
      </c>
      <c r="X61" s="182"/>
      <c r="Y61" s="182"/>
      <c r="Z61" s="183"/>
      <c r="AA61" s="184">
        <f>SUM(AA56:AA60)</f>
        <v>2.3546680210488824</v>
      </c>
      <c r="AB61" s="185">
        <f>SUM(AB56:AB60)</f>
        <v>5</v>
      </c>
      <c r="AC61" s="186">
        <f>AA61-(AB61-1)</f>
        <v>-1.6453319789511176</v>
      </c>
      <c r="AD61" s="174">
        <f>M61</f>
        <v>284.73590141735923</v>
      </c>
      <c r="AE61" s="174">
        <f>SUM(AE56:AE60)</f>
        <v>23157.320924901142</v>
      </c>
      <c r="AF61" s="187">
        <f>AE61/AD61</f>
        <v>81.329122213351241</v>
      </c>
      <c r="AG61" s="188">
        <f>AC61/(AD61-AF61)</f>
        <v>-8.088874841781564E-3</v>
      </c>
      <c r="AH61" s="188" t="str">
        <f>IF(AA61&lt;AB61-1,"0",AG61)</f>
        <v>0</v>
      </c>
      <c r="AI61" s="183"/>
      <c r="AJ61" s="174">
        <f>SUM(AJ56:AJ60)</f>
        <v>284.73590141735923</v>
      </c>
      <c r="AK61" s="189">
        <f>SUM(AK56:AK60)</f>
        <v>0.99999999999999989</v>
      </c>
      <c r="AL61" s="186">
        <f>SUM(AL56:AL60)</f>
        <v>-14.537136518417324</v>
      </c>
      <c r="AM61" s="186">
        <f>AL61/AJ61</f>
        <v>-5.1054807089848248E-2</v>
      </c>
      <c r="AN61" s="239">
        <f>EXP(AM61)</f>
        <v>0.95022658995115583</v>
      </c>
      <c r="AO61" s="191">
        <f>1/AJ61</f>
        <v>3.5120263901467887E-3</v>
      </c>
      <c r="AP61" s="192">
        <f>SQRT(AO61)</f>
        <v>5.9262352215776831E-2</v>
      </c>
      <c r="AQ61" s="193">
        <f>-NORMSINV(2.5/100)</f>
        <v>1.9599639845400538</v>
      </c>
      <c r="AR61" s="179">
        <f>AM61-(AQ61*AP61)</f>
        <v>-0.16720688307189829</v>
      </c>
      <c r="AS61" s="179">
        <f>AM61+(1.96*AP61)</f>
        <v>6.5099403253074339E-2</v>
      </c>
      <c r="AT61" s="240">
        <f>EXP(AR61)</f>
        <v>0.84602456506983481</v>
      </c>
      <c r="AU61" s="241">
        <f>EXP(AS61)</f>
        <v>1.0672651087352416</v>
      </c>
      <c r="AV61" s="242"/>
      <c r="AW61" s="20"/>
      <c r="AX61" s="197">
        <f>AA61</f>
        <v>2.3546680210488824</v>
      </c>
      <c r="AY61" s="77">
        <f>SUM(AY56:AY60)</f>
        <v>5</v>
      </c>
      <c r="AZ61" s="198">
        <f>(AX61-(AY61-1))/AX61</f>
        <v>-0.69875326977864494</v>
      </c>
      <c r="BA61" s="199" t="str">
        <f>IF(AA61&lt;AB61-1,"0%",AZ61)</f>
        <v>0%</v>
      </c>
      <c r="BB61" s="200"/>
      <c r="BC61" s="176">
        <f>AX61/(AY61-1)</f>
        <v>0.5886670052622206</v>
      </c>
      <c r="BD61" s="201">
        <f>LN(BC61)</f>
        <v>-0.52989461129587168</v>
      </c>
      <c r="BE61" s="176">
        <f>LN(AX61)</f>
        <v>0.85639974982401901</v>
      </c>
      <c r="BF61" s="176">
        <f>LN(AY61-1)</f>
        <v>1.3862943611198906</v>
      </c>
      <c r="BG61" s="176">
        <f>SQRT(2*AX61)</f>
        <v>2.1701004682036649</v>
      </c>
      <c r="BH61" s="176">
        <f>SQRT(2*AY61-3)</f>
        <v>2.6457513110645907</v>
      </c>
      <c r="BI61" s="176">
        <f>2*(AY61-2)</f>
        <v>6</v>
      </c>
      <c r="BJ61" s="176">
        <f>3*(AY61-2)^2</f>
        <v>27</v>
      </c>
      <c r="BK61" s="176">
        <f>1/BI61</f>
        <v>0.16666666666666666</v>
      </c>
      <c r="BL61" s="202">
        <f>1/BJ61</f>
        <v>3.7037037037037035E-2</v>
      </c>
      <c r="BM61" s="202">
        <f>SQRT(BK61*(1-BL61))</f>
        <v>0.40061680838488767</v>
      </c>
      <c r="BN61" s="203">
        <f>0.5*(BE61-BF61)/(BG61-BH61)</f>
        <v>0.55702057428163321</v>
      </c>
      <c r="BO61" s="203">
        <f>IF(AA61&lt;=AB61,BM61,BN61)</f>
        <v>0.40061680838488767</v>
      </c>
      <c r="BP61" s="204">
        <f>BD61-(1.96*BO61)</f>
        <v>-1.3151035557302515</v>
      </c>
      <c r="BQ61" s="204">
        <f>BD61+(1.96*BO61)</f>
        <v>0.25531433313850815</v>
      </c>
      <c r="BR61" s="204"/>
      <c r="BS61" s="201">
        <f>EXP(BP61)</f>
        <v>0.26844652262412111</v>
      </c>
      <c r="BT61" s="201">
        <f>EXP(BQ61)</f>
        <v>1.2908673194832214</v>
      </c>
      <c r="BU61" s="205" t="str">
        <f>BA61</f>
        <v>0%</v>
      </c>
      <c r="BV61" s="205">
        <f>(BS61-1)/BS61</f>
        <v>-2.7251367245319109</v>
      </c>
      <c r="BW61" s="205">
        <f>(BT61-1)/BT61</f>
        <v>0.22532704569487871</v>
      </c>
    </row>
    <row r="62" spans="1:256" ht="13.5" thickBot="1">
      <c r="B62" s="122"/>
      <c r="C62" s="382"/>
      <c r="D62" s="382"/>
      <c r="E62" s="382"/>
      <c r="F62" s="382"/>
      <c r="G62" s="382"/>
      <c r="H62" s="382"/>
      <c r="I62" s="80"/>
      <c r="J62" s="122"/>
      <c r="K62" s="122"/>
      <c r="L62" s="10"/>
      <c r="M62" s="10"/>
      <c r="N62" s="10"/>
      <c r="O62" s="10"/>
      <c r="P62" s="10"/>
      <c r="Q62" s="10"/>
      <c r="R62" s="206"/>
      <c r="S62" s="206"/>
      <c r="T62" s="206"/>
      <c r="U62" s="206"/>
      <c r="V62" s="206"/>
      <c r="W62" s="206"/>
      <c r="X62" s="206"/>
      <c r="Z62" s="10"/>
      <c r="AA62" s="10"/>
      <c r="AB62" s="207"/>
      <c r="AC62" s="208"/>
      <c r="AD62" s="208"/>
      <c r="AE62" s="208"/>
      <c r="AF62" s="210"/>
      <c r="AG62" s="210"/>
      <c r="AH62" s="210"/>
      <c r="AI62" s="2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211"/>
      <c r="AU62" s="211"/>
      <c r="AV62" s="211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212"/>
      <c r="BH62" s="10"/>
      <c r="BI62" s="10"/>
      <c r="BJ62" s="10"/>
      <c r="BK62" s="10"/>
      <c r="BN62" s="208" t="s">
        <v>203</v>
      </c>
      <c r="BT62" s="213" t="s">
        <v>204</v>
      </c>
      <c r="BU62" s="214" t="str">
        <f>BU61</f>
        <v>0%</v>
      </c>
      <c r="BV62" s="215" t="str">
        <f>IF(BV61&lt;0,"0%",BV61)</f>
        <v>0%</v>
      </c>
      <c r="BW62" s="216">
        <f>IF(BW61&lt;0,"0%",BW61)</f>
        <v>0.22532704569487871</v>
      </c>
    </row>
    <row r="63" spans="1:256" ht="15.75" thickBot="1">
      <c r="B63" s="116"/>
      <c r="C63" s="383"/>
      <c r="D63" s="383"/>
      <c r="E63" s="383"/>
      <c r="F63" s="383"/>
      <c r="G63" s="383"/>
      <c r="H63" s="383"/>
      <c r="I63" s="217"/>
      <c r="J63" s="116"/>
      <c r="K63" s="116"/>
      <c r="L63" s="10"/>
      <c r="M63" s="10"/>
      <c r="N63" s="10"/>
      <c r="O63" s="10"/>
      <c r="P63" s="10"/>
      <c r="Q63" s="10"/>
      <c r="R63" s="218"/>
      <c r="S63" s="218"/>
      <c r="T63" s="218"/>
      <c r="U63" s="218"/>
      <c r="V63" s="218"/>
      <c r="W63" s="218"/>
      <c r="X63" s="218"/>
      <c r="Z63" s="10"/>
      <c r="AA63" s="10"/>
      <c r="AB63" s="10"/>
      <c r="AC63" s="10"/>
      <c r="AD63" s="10"/>
      <c r="AE63" s="10"/>
      <c r="AF63" s="10"/>
      <c r="AG63" s="10"/>
      <c r="AH63" s="10"/>
      <c r="AI63" s="212"/>
      <c r="AJ63" s="26"/>
      <c r="AK63" s="26"/>
      <c r="AL63" s="219"/>
      <c r="AM63" s="220"/>
      <c r="AN63" s="221"/>
      <c r="AO63" s="222" t="s">
        <v>295</v>
      </c>
      <c r="AP63" s="223">
        <f>TINV(0.05,(AB61-2))</f>
        <v>3.1824463052837091</v>
      </c>
      <c r="AQ63" s="10"/>
      <c r="AR63" s="224"/>
      <c r="AS63" s="225" t="s">
        <v>205</v>
      </c>
      <c r="AT63" s="226">
        <f>EXP(AM61-AP63*SQRT((1/AD61)+AH61))</f>
        <v>0.78690003344311721</v>
      </c>
      <c r="AU63" s="227">
        <f>EXP(AM61+AP63*SQRT((1/AD61)+AH61))</f>
        <v>1.1474527053956114</v>
      </c>
      <c r="AV63" s="127"/>
      <c r="AW63" s="10"/>
      <c r="AX63" s="10"/>
      <c r="AY63" s="10"/>
      <c r="AZ63" s="10"/>
      <c r="BB63" s="10"/>
      <c r="BC63" s="10"/>
      <c r="BD63" s="10"/>
      <c r="BF63" s="228"/>
      <c r="BG63" s="212"/>
      <c r="BH63" s="212"/>
      <c r="BJ63" s="156"/>
      <c r="BK63" s="10"/>
      <c r="BL63" s="229"/>
      <c r="BM63" s="230"/>
      <c r="BN63" s="10"/>
      <c r="BQ63" s="229"/>
    </row>
    <row r="64" spans="1:256" ht="15">
      <c r="A64" s="2"/>
      <c r="B64" s="231"/>
      <c r="C64" s="384"/>
      <c r="D64" s="384"/>
      <c r="E64" s="384"/>
      <c r="F64" s="384"/>
      <c r="G64" s="384"/>
      <c r="H64" s="384"/>
      <c r="I64" s="217"/>
      <c r="J64" s="231"/>
      <c r="K64" s="231"/>
      <c r="L64" s="10"/>
      <c r="M64" s="10"/>
      <c r="N64" s="10"/>
      <c r="O64" s="10"/>
      <c r="P64" s="10"/>
      <c r="Q64" s="10"/>
      <c r="R64" s="218"/>
      <c r="S64" s="218"/>
      <c r="T64" s="218"/>
      <c r="U64" s="218"/>
      <c r="V64" s="218"/>
      <c r="W64" s="218"/>
      <c r="X64" s="218"/>
      <c r="Z64" s="10"/>
      <c r="AA64" s="10"/>
      <c r="AB64" s="10"/>
      <c r="AC64" s="10"/>
      <c r="AD64" s="10"/>
      <c r="AE64" s="10"/>
      <c r="AF64" s="10"/>
      <c r="AG64" s="10"/>
      <c r="AH64" s="10"/>
      <c r="AI64" s="212"/>
      <c r="AJ64" s="26"/>
      <c r="AK64" s="26"/>
      <c r="AL64" s="219"/>
      <c r="AM64" s="220"/>
      <c r="AN64" s="232"/>
      <c r="AO64" s="233"/>
      <c r="AP64" s="125"/>
      <c r="AQ64" s="10"/>
      <c r="AR64" s="10"/>
      <c r="AS64" s="234"/>
      <c r="AT64" s="127"/>
      <c r="AU64" s="127"/>
      <c r="AV64" s="127"/>
      <c r="AW64" s="10"/>
      <c r="AX64" s="10"/>
      <c r="AY64" s="10"/>
      <c r="AZ64" s="10"/>
      <c r="BA64" s="2"/>
      <c r="BB64" s="10"/>
      <c r="BC64" s="10"/>
      <c r="BD64" s="10"/>
      <c r="BE64" s="2"/>
      <c r="BF64" s="228"/>
      <c r="BG64" s="212"/>
      <c r="BH64" s="212"/>
      <c r="BI64" s="2"/>
      <c r="BJ64" s="156"/>
      <c r="BK64" s="10"/>
      <c r="BL64" s="3"/>
      <c r="BM64" s="235"/>
      <c r="BN64" s="10"/>
      <c r="BO64" s="2"/>
      <c r="BP64" s="2"/>
      <c r="BQ64" s="3"/>
      <c r="BR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>
      <c r="B65" s="122"/>
      <c r="C65" s="382"/>
      <c r="D65" s="382"/>
      <c r="E65" s="382"/>
      <c r="F65" s="382"/>
      <c r="G65" s="382"/>
      <c r="H65" s="382"/>
      <c r="I65" s="80"/>
      <c r="J65" s="416" t="s">
        <v>176</v>
      </c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8"/>
      <c r="X65" s="123"/>
      <c r="Y65" s="419" t="s">
        <v>177</v>
      </c>
      <c r="Z65" s="420"/>
      <c r="AA65" s="420"/>
      <c r="AB65" s="420"/>
      <c r="AC65" s="420"/>
      <c r="AD65" s="420"/>
      <c r="AE65" s="420"/>
      <c r="AF65" s="420"/>
      <c r="AG65" s="420"/>
      <c r="AH65" s="420"/>
      <c r="AI65" s="420"/>
      <c r="AJ65" s="420"/>
      <c r="AK65" s="420"/>
      <c r="AL65" s="420"/>
      <c r="AM65" s="420"/>
      <c r="AN65" s="420"/>
      <c r="AO65" s="420"/>
      <c r="AP65" s="420"/>
      <c r="AQ65" s="420"/>
      <c r="AR65" s="420"/>
      <c r="AS65" s="420"/>
      <c r="AT65" s="420"/>
      <c r="AU65" s="421"/>
      <c r="AV65" s="123"/>
      <c r="AW65" s="416" t="s">
        <v>178</v>
      </c>
      <c r="AX65" s="417"/>
      <c r="AY65" s="417"/>
      <c r="AZ65" s="417"/>
      <c r="BA65" s="417"/>
      <c r="BB65" s="417"/>
      <c r="BC65" s="417"/>
      <c r="BD65" s="417"/>
      <c r="BE65" s="417"/>
      <c r="BF65" s="417"/>
      <c r="BG65" s="417"/>
      <c r="BH65" s="417"/>
      <c r="BI65" s="417"/>
      <c r="BJ65" s="417"/>
      <c r="BK65" s="417"/>
      <c r="BL65" s="417"/>
      <c r="BM65" s="417"/>
      <c r="BN65" s="417"/>
      <c r="BO65" s="417"/>
      <c r="BP65" s="417"/>
      <c r="BQ65" s="417"/>
      <c r="BR65" s="417"/>
      <c r="BS65" s="417"/>
      <c r="BT65" s="417"/>
      <c r="BU65" s="417"/>
      <c r="BV65" s="417"/>
      <c r="BW65" s="418"/>
    </row>
    <row r="66" spans="1:256">
      <c r="A66" s="243"/>
      <c r="B66" s="71" t="s">
        <v>155</v>
      </c>
      <c r="C66" s="415" t="s">
        <v>156</v>
      </c>
      <c r="D66" s="415"/>
      <c r="E66" s="415"/>
      <c r="F66" s="415" t="s">
        <v>157</v>
      </c>
      <c r="G66" s="415"/>
      <c r="H66" s="415"/>
      <c r="I66" s="125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126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126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</row>
    <row r="67" spans="1:256" ht="65.25">
      <c r="B67" s="72" t="s">
        <v>231</v>
      </c>
      <c r="C67" s="380" t="s">
        <v>158</v>
      </c>
      <c r="D67" s="380" t="s">
        <v>159</v>
      </c>
      <c r="E67" s="380" t="s">
        <v>1</v>
      </c>
      <c r="F67" s="380" t="s">
        <v>158</v>
      </c>
      <c r="G67" s="380" t="s">
        <v>159</v>
      </c>
      <c r="H67" s="380" t="s">
        <v>1</v>
      </c>
      <c r="I67" s="127"/>
      <c r="K67" s="128" t="s">
        <v>266</v>
      </c>
      <c r="L67" s="128" t="s">
        <v>267</v>
      </c>
      <c r="M67" s="128" t="s">
        <v>268</v>
      </c>
      <c r="N67" s="129" t="s">
        <v>269</v>
      </c>
      <c r="O67" s="129" t="s">
        <v>179</v>
      </c>
      <c r="P67" s="129" t="s">
        <v>180</v>
      </c>
      <c r="Q67" s="130" t="s">
        <v>181</v>
      </c>
      <c r="R67" s="128" t="s">
        <v>182</v>
      </c>
      <c r="S67" s="131" t="s">
        <v>183</v>
      </c>
      <c r="T67" s="131" t="s">
        <v>184</v>
      </c>
      <c r="U67" s="131" t="s">
        <v>185</v>
      </c>
      <c r="V67" s="132" t="s">
        <v>161</v>
      </c>
      <c r="W67" s="133" t="s">
        <v>162</v>
      </c>
      <c r="X67" s="134"/>
      <c r="Y67" s="81"/>
      <c r="Z67" s="135" t="s">
        <v>186</v>
      </c>
      <c r="AA67" s="129" t="s">
        <v>270</v>
      </c>
      <c r="AB67" s="136" t="s">
        <v>187</v>
      </c>
      <c r="AC67" s="136" t="s">
        <v>188</v>
      </c>
      <c r="AD67" s="136" t="s">
        <v>271</v>
      </c>
      <c r="AE67" s="129" t="s">
        <v>272</v>
      </c>
      <c r="AF67" s="129" t="s">
        <v>273</v>
      </c>
      <c r="AG67" s="137" t="s">
        <v>274</v>
      </c>
      <c r="AH67" s="137" t="s">
        <v>275</v>
      </c>
      <c r="AI67" s="136" t="s">
        <v>276</v>
      </c>
      <c r="AJ67" s="129" t="s">
        <v>277</v>
      </c>
      <c r="AK67" s="129" t="s">
        <v>278</v>
      </c>
      <c r="AL67" s="129" t="s">
        <v>279</v>
      </c>
      <c r="AM67" s="136" t="s">
        <v>189</v>
      </c>
      <c r="AN67" s="138" t="s">
        <v>190</v>
      </c>
      <c r="AO67" s="129" t="s">
        <v>191</v>
      </c>
      <c r="AP67" s="129" t="s">
        <v>192</v>
      </c>
      <c r="AQ67" s="139" t="s">
        <v>183</v>
      </c>
      <c r="AR67" s="131" t="s">
        <v>193</v>
      </c>
      <c r="AS67" s="131" t="s">
        <v>194</v>
      </c>
      <c r="AT67" s="132" t="s">
        <v>161</v>
      </c>
      <c r="AU67" s="133" t="s">
        <v>162</v>
      </c>
      <c r="AV67" s="134"/>
      <c r="AX67" s="140" t="s">
        <v>195</v>
      </c>
      <c r="AY67" s="140" t="s">
        <v>187</v>
      </c>
      <c r="AZ67" s="141" t="s">
        <v>280</v>
      </c>
      <c r="BA67" s="142" t="s">
        <v>281</v>
      </c>
      <c r="BC67" s="136" t="s">
        <v>282</v>
      </c>
      <c r="BD67" s="136" t="s">
        <v>283</v>
      </c>
      <c r="BE67" s="136" t="s">
        <v>196</v>
      </c>
      <c r="BF67" s="136" t="s">
        <v>197</v>
      </c>
      <c r="BG67" s="136" t="s">
        <v>198</v>
      </c>
      <c r="BH67" s="136" t="s">
        <v>199</v>
      </c>
      <c r="BI67" s="136" t="s">
        <v>200</v>
      </c>
      <c r="BJ67" s="136" t="s">
        <v>284</v>
      </c>
      <c r="BK67" s="136" t="s">
        <v>201</v>
      </c>
      <c r="BL67" s="136" t="s">
        <v>202</v>
      </c>
      <c r="BM67" s="143" t="s">
        <v>285</v>
      </c>
      <c r="BN67" s="143" t="s">
        <v>286</v>
      </c>
      <c r="BO67" s="143" t="s">
        <v>287</v>
      </c>
      <c r="BP67" s="143" t="s">
        <v>288</v>
      </c>
      <c r="BQ67" s="143" t="s">
        <v>289</v>
      </c>
      <c r="BR67" s="144"/>
      <c r="BS67" s="131" t="s">
        <v>290</v>
      </c>
      <c r="BT67" s="131" t="s">
        <v>291</v>
      </c>
      <c r="BU67" s="130" t="s">
        <v>292</v>
      </c>
      <c r="BV67" s="132" t="s">
        <v>293</v>
      </c>
      <c r="BW67" s="133" t="s">
        <v>294</v>
      </c>
    </row>
    <row r="68" spans="1:256">
      <c r="B68" s="145" t="s">
        <v>3</v>
      </c>
      <c r="C68" s="357">
        <v>538</v>
      </c>
      <c r="D68" s="277">
        <v>4590</v>
      </c>
      <c r="E68" s="358">
        <v>5128</v>
      </c>
      <c r="F68" s="357">
        <v>179</v>
      </c>
      <c r="G68" s="277">
        <v>4944</v>
      </c>
      <c r="H68" s="358">
        <v>5123</v>
      </c>
      <c r="I68" s="146"/>
      <c r="K68" s="147">
        <f>(C68/E68)/(F68/H68)</f>
        <v>3.0026560280288308</v>
      </c>
      <c r="L68" s="148">
        <f>(D68/(C68*E68)+(G68/(F68*H68)))</f>
        <v>7.0551223118405018E-3</v>
      </c>
      <c r="M68" s="149">
        <f>1/L68</f>
        <v>141.74098701615924</v>
      </c>
      <c r="N68" s="150">
        <f>LN(K68)</f>
        <v>1.0994972396597258</v>
      </c>
      <c r="O68" s="150">
        <f>M68*N68</f>
        <v>155.84382397091213</v>
      </c>
      <c r="P68" s="150">
        <f>LN(K68)</f>
        <v>1.0994972396597258</v>
      </c>
      <c r="Q68" s="236">
        <f>K68</f>
        <v>3.0026560280288308</v>
      </c>
      <c r="R68" s="151">
        <f>SQRT(1/M68)</f>
        <v>8.3994775503244856E-2</v>
      </c>
      <c r="S68" s="152">
        <f>-NORMSINV(2.5/100)</f>
        <v>1.9599639845400538</v>
      </c>
      <c r="T68" s="153">
        <f>P68-(R68*S68)</f>
        <v>0.93487050478383871</v>
      </c>
      <c r="U68" s="153">
        <f>P68+(R68*S68)</f>
        <v>1.2641239745356128</v>
      </c>
      <c r="V68" s="154">
        <f>EXP(T68)</f>
        <v>2.5468836271378921</v>
      </c>
      <c r="W68" s="155">
        <f>EXP(U68)</f>
        <v>3.5399902557737621</v>
      </c>
      <c r="X68" s="156"/>
      <c r="Z68" s="157">
        <f>(N68-P73)^2</f>
        <v>5.7489165343689717E-2</v>
      </c>
      <c r="AA68" s="158">
        <f>M68*Z68</f>
        <v>8.1485710385497558</v>
      </c>
      <c r="AB68" s="159">
        <v>1</v>
      </c>
      <c r="AC68" s="144"/>
      <c r="AD68" s="144"/>
      <c r="AE68" s="149">
        <f>M68^2</f>
        <v>20090.507400315022</v>
      </c>
      <c r="AF68" s="160"/>
      <c r="AG68" s="161">
        <f>AG73</f>
        <v>5.8285259033569951E-2</v>
      </c>
      <c r="AH68" s="161">
        <f>AH73</f>
        <v>5.8285259033569951E-2</v>
      </c>
      <c r="AI68" s="158">
        <f>1/M68</f>
        <v>7.0551223118405027E-3</v>
      </c>
      <c r="AJ68" s="162">
        <f>1/(AH68+AI68)</f>
        <v>15.304471437252188</v>
      </c>
      <c r="AK68" s="163">
        <f>AJ68/AJ73</f>
        <v>0.26758491271602375</v>
      </c>
      <c r="AL68" s="164">
        <f>AJ68*N68</f>
        <v>16.827224099709898</v>
      </c>
      <c r="AM68" s="165">
        <f>AL68/AJ68</f>
        <v>1.0994972396597258</v>
      </c>
      <c r="AN68" s="155">
        <f>EXP(AM68)</f>
        <v>3.0026560280288308</v>
      </c>
      <c r="AO68" s="166">
        <f>1/AJ68</f>
        <v>6.5340381345410453E-2</v>
      </c>
      <c r="AP68" s="155">
        <f>SQRT(AO68)</f>
        <v>0.25561764678012833</v>
      </c>
      <c r="AQ68" s="167">
        <f>-NORMSINV(2.5/100)</f>
        <v>1.9599639845400538</v>
      </c>
      <c r="AR68" s="153">
        <f>AM68-(AQ68*AP68)</f>
        <v>0.59849585815779338</v>
      </c>
      <c r="AS68" s="153">
        <f>AM68+(1.96*AP68)</f>
        <v>1.6005078273487774</v>
      </c>
      <c r="AT68" s="168">
        <f>EXP(AR68)</f>
        <v>1.8193801354479755</v>
      </c>
      <c r="AU68" s="168">
        <f>EXP(AS68)</f>
        <v>4.9555483484930667</v>
      </c>
      <c r="AV68" s="127"/>
      <c r="AX68" s="169"/>
      <c r="AY68" s="169">
        <v>1</v>
      </c>
      <c r="AZ68" s="170"/>
      <c r="BA68" s="170"/>
      <c r="BC68" s="144"/>
      <c r="BD68" s="144"/>
      <c r="BE68" s="159"/>
      <c r="BF68" s="159"/>
      <c r="BG68" s="159"/>
      <c r="BH68" s="159"/>
      <c r="BI68" s="159"/>
      <c r="BJ68" s="159"/>
      <c r="BK68" s="159"/>
      <c r="BL68" s="159"/>
      <c r="BM68" s="144"/>
      <c r="BN68" s="144"/>
      <c r="BO68" s="144"/>
      <c r="BP68" s="144"/>
      <c r="BQ68" s="144"/>
      <c r="BR68" s="144"/>
      <c r="BS68" s="171"/>
      <c r="BT68" s="171"/>
      <c r="BU68" s="171"/>
      <c r="BV68" s="144"/>
      <c r="BW68" s="144"/>
    </row>
    <row r="69" spans="1:256">
      <c r="B69" s="145" t="s">
        <v>4</v>
      </c>
      <c r="C69" s="357">
        <v>150</v>
      </c>
      <c r="D69" s="277">
        <v>5421</v>
      </c>
      <c r="E69" s="358">
        <v>5571</v>
      </c>
      <c r="F69" s="357">
        <v>81</v>
      </c>
      <c r="G69" s="277">
        <v>5488</v>
      </c>
      <c r="H69" s="358">
        <v>5569</v>
      </c>
      <c r="I69" s="146"/>
      <c r="K69" s="147">
        <f t="shared" ref="K69:K72" si="129">(C69/E69)/(F69/H69)</f>
        <v>1.8511870333805356</v>
      </c>
      <c r="L69" s="148">
        <f t="shared" ref="L69:L72" si="130">(D69/(C69*E69)+(G69/(F69*H69)))</f>
        <v>1.8653279240149805E-2</v>
      </c>
      <c r="M69" s="149">
        <f t="shared" ref="M69:M72" si="131">1/L69</f>
        <v>53.609876693829463</v>
      </c>
      <c r="N69" s="150">
        <f t="shared" ref="N69:N72" si="132">LN(K69)</f>
        <v>0.61582707299267014</v>
      </c>
      <c r="O69" s="150">
        <f t="shared" ref="O69:O72" si="133">M69*N69</f>
        <v>33.014413447858963</v>
      </c>
      <c r="P69" s="150">
        <f t="shared" ref="P69:P72" si="134">LN(K69)</f>
        <v>0.61582707299267014</v>
      </c>
      <c r="Q69" s="236">
        <f t="shared" ref="Q69:Q72" si="135">K69</f>
        <v>1.8511870333805356</v>
      </c>
      <c r="R69" s="151">
        <f t="shared" ref="R69:R72" si="136">SQRT(1/M69)</f>
        <v>0.13657700846097709</v>
      </c>
      <c r="S69" s="152">
        <f t="shared" ref="S69:S72" si="137">-NORMSINV(2.5/100)</f>
        <v>1.9599639845400538</v>
      </c>
      <c r="T69" s="153">
        <f t="shared" ref="T69:T72" si="138">P69-(R69*S69)</f>
        <v>0.34814105529293282</v>
      </c>
      <c r="U69" s="153">
        <f t="shared" ref="U69:U72" si="139">P69+(R69*S69)</f>
        <v>0.88351309069240747</v>
      </c>
      <c r="V69" s="154">
        <f t="shared" ref="V69:W72" si="140">EXP(T69)</f>
        <v>1.4164320308846341</v>
      </c>
      <c r="W69" s="155">
        <f t="shared" si="140"/>
        <v>2.4193843106018704</v>
      </c>
      <c r="X69" s="156"/>
      <c r="Z69" s="157">
        <f>(N69-P73)^2</f>
        <v>5.9487787257031619E-2</v>
      </c>
      <c r="AA69" s="158">
        <f t="shared" ref="AA69:AA72" si="141">M69*Z69</f>
        <v>3.1891329396382249</v>
      </c>
      <c r="AB69" s="159">
        <v>1</v>
      </c>
      <c r="AC69" s="144"/>
      <c r="AD69" s="144"/>
      <c r="AE69" s="149">
        <f t="shared" ref="AE69:AE72" si="142">M69^2</f>
        <v>2874.0188791275996</v>
      </c>
      <c r="AF69" s="160"/>
      <c r="AG69" s="161">
        <f>AG73</f>
        <v>5.8285259033569951E-2</v>
      </c>
      <c r="AH69" s="161">
        <f>AH73</f>
        <v>5.8285259033569951E-2</v>
      </c>
      <c r="AI69" s="158">
        <f t="shared" ref="AI69:AI72" si="143">1/M69</f>
        <v>1.8653279240149805E-2</v>
      </c>
      <c r="AJ69" s="162">
        <f t="shared" ref="AJ69:AJ72" si="144">1/(AH69+AI69)</f>
        <v>12.997387556836058</v>
      </c>
      <c r="AK69" s="163">
        <f>AJ69/AJ73</f>
        <v>0.22724762689071631</v>
      </c>
      <c r="AL69" s="164">
        <f t="shared" ref="AL69:AL72" si="145">AJ69*N69</f>
        <v>8.0041431356777011</v>
      </c>
      <c r="AM69" s="165">
        <f t="shared" ref="AM69:AM72" si="146">AL69/AJ69</f>
        <v>0.61582707299267014</v>
      </c>
      <c r="AN69" s="155">
        <f t="shared" ref="AN69:AN72" si="147">EXP(AM69)</f>
        <v>1.8511870333805356</v>
      </c>
      <c r="AO69" s="166">
        <f t="shared" ref="AO69:AO72" si="148">1/AJ69</f>
        <v>7.6938538273719756E-2</v>
      </c>
      <c r="AP69" s="155">
        <f t="shared" ref="AP69:AP72" si="149">SQRT(AO69)</f>
        <v>0.27737797005840198</v>
      </c>
      <c r="AQ69" s="167">
        <f t="shared" ref="AQ69:AQ72" si="150">-NORMSINV(2.5/100)</f>
        <v>1.9599639845400538</v>
      </c>
      <c r="AR69" s="153">
        <f t="shared" ref="AR69:AR72" si="151">AM69-(AQ69*AP69)</f>
        <v>7.2176241573372879E-2</v>
      </c>
      <c r="AS69" s="153">
        <f t="shared" ref="AS69:AS72" si="152">AM69+(1.96*AP69)</f>
        <v>1.1594878943071381</v>
      </c>
      <c r="AT69" s="168">
        <f t="shared" ref="AT69:AU72" si="153">EXP(AR69)</f>
        <v>1.0748447597034498</v>
      </c>
      <c r="AU69" s="168">
        <f t="shared" si="153"/>
        <v>3.188300111337818</v>
      </c>
      <c r="AV69" s="127"/>
      <c r="AX69" s="169"/>
      <c r="AY69" s="169">
        <v>1</v>
      </c>
      <c r="AZ69" s="170"/>
      <c r="BA69" s="170"/>
      <c r="BC69" s="144"/>
      <c r="BD69" s="144"/>
      <c r="BE69" s="159"/>
      <c r="BF69" s="159"/>
      <c r="BG69" s="159"/>
      <c r="BH69" s="159"/>
      <c r="BI69" s="159"/>
      <c r="BJ69" s="159"/>
      <c r="BK69" s="159"/>
      <c r="BL69" s="159"/>
      <c r="BM69" s="144"/>
      <c r="BN69" s="144"/>
      <c r="BO69" s="144"/>
      <c r="BP69" s="144"/>
      <c r="BQ69" s="144"/>
      <c r="BR69" s="144"/>
      <c r="BS69" s="171"/>
      <c r="BT69" s="171"/>
      <c r="BU69" s="171"/>
      <c r="BV69" s="144"/>
      <c r="BW69" s="144"/>
    </row>
    <row r="70" spans="1:256">
      <c r="B70" s="145" t="s">
        <v>259</v>
      </c>
      <c r="C70" s="357">
        <v>19</v>
      </c>
      <c r="D70" s="277">
        <v>2586</v>
      </c>
      <c r="E70" s="358">
        <v>2605</v>
      </c>
      <c r="F70" s="357">
        <v>11</v>
      </c>
      <c r="G70" s="277">
        <v>2622</v>
      </c>
      <c r="H70" s="358">
        <v>2633</v>
      </c>
      <c r="I70" s="146"/>
      <c r="K70" s="147">
        <f t="shared" si="129"/>
        <v>1.7458384226138544</v>
      </c>
      <c r="L70" s="148">
        <f t="shared" si="130"/>
        <v>0.14277699778640213</v>
      </c>
      <c r="M70" s="149">
        <f t="shared" si="131"/>
        <v>7.0039293128717022</v>
      </c>
      <c r="N70" s="150">
        <f t="shared" si="132"/>
        <v>0.55723491167691197</v>
      </c>
      <c r="O70" s="150">
        <f t="shared" si="133"/>
        <v>3.9028339320493979</v>
      </c>
      <c r="P70" s="150">
        <f t="shared" si="134"/>
        <v>0.55723491167691197</v>
      </c>
      <c r="Q70" s="236">
        <f t="shared" si="135"/>
        <v>1.7458384226138544</v>
      </c>
      <c r="R70" s="151">
        <f t="shared" si="136"/>
        <v>0.37785843617206977</v>
      </c>
      <c r="S70" s="152">
        <f t="shared" si="137"/>
        <v>1.9599639845400538</v>
      </c>
      <c r="T70" s="153">
        <f t="shared" si="138"/>
        <v>-0.18335401447497146</v>
      </c>
      <c r="U70" s="153">
        <f t="shared" si="139"/>
        <v>1.2978238378287954</v>
      </c>
      <c r="V70" s="154">
        <f t="shared" si="140"/>
        <v>0.83247339593336178</v>
      </c>
      <c r="W70" s="155">
        <f t="shared" si="140"/>
        <v>3.6613203650279957</v>
      </c>
      <c r="X70" s="156"/>
      <c r="Z70" s="157">
        <f>(N70-P73)^2</f>
        <v>9.1502223588782794E-2</v>
      </c>
      <c r="AA70" s="158">
        <f t="shared" si="141"/>
        <v>0.64087510598641628</v>
      </c>
      <c r="AB70" s="159">
        <v>1</v>
      </c>
      <c r="AC70" s="144"/>
      <c r="AD70" s="144"/>
      <c r="AE70" s="149">
        <f t="shared" si="142"/>
        <v>49.055025819703474</v>
      </c>
      <c r="AF70" s="160"/>
      <c r="AG70" s="161">
        <f>AG73</f>
        <v>5.8285259033569951E-2</v>
      </c>
      <c r="AH70" s="161">
        <f>AH73</f>
        <v>5.8285259033569951E-2</v>
      </c>
      <c r="AI70" s="158">
        <f t="shared" si="143"/>
        <v>0.14277699778640213</v>
      </c>
      <c r="AJ70" s="162">
        <f t="shared" si="144"/>
        <v>4.9735838830028847</v>
      </c>
      <c r="AK70" s="163">
        <f>AJ70/AJ73</f>
        <v>8.6958639158210324E-2</v>
      </c>
      <c r="AL70" s="164">
        <f t="shared" si="145"/>
        <v>2.7714545757628253</v>
      </c>
      <c r="AM70" s="165">
        <f t="shared" si="146"/>
        <v>0.55723491167691197</v>
      </c>
      <c r="AN70" s="155">
        <f t="shared" si="147"/>
        <v>1.7458384226138544</v>
      </c>
      <c r="AO70" s="166">
        <f t="shared" si="148"/>
        <v>0.20106225681997208</v>
      </c>
      <c r="AP70" s="155">
        <f t="shared" si="149"/>
        <v>0.44839966193115277</v>
      </c>
      <c r="AQ70" s="167">
        <f t="shared" si="150"/>
        <v>1.9599639845400538</v>
      </c>
      <c r="AR70" s="153">
        <f t="shared" si="151"/>
        <v>-0.32161227638808332</v>
      </c>
      <c r="AS70" s="153">
        <f t="shared" si="152"/>
        <v>1.4360982490619714</v>
      </c>
      <c r="AT70" s="168">
        <f t="shared" si="153"/>
        <v>0.72497922740864207</v>
      </c>
      <c r="AU70" s="168">
        <f t="shared" si="153"/>
        <v>4.2042597986098897</v>
      </c>
      <c r="AV70" s="127"/>
      <c r="AX70" s="169"/>
      <c r="AY70" s="169">
        <v>1</v>
      </c>
      <c r="AZ70" s="170"/>
      <c r="BA70" s="170"/>
      <c r="BC70" s="144"/>
      <c r="BD70" s="144"/>
      <c r="BE70" s="159"/>
      <c r="BF70" s="159"/>
      <c r="BG70" s="159"/>
      <c r="BH70" s="159"/>
      <c r="BI70" s="159"/>
      <c r="BJ70" s="159"/>
      <c r="BK70" s="159"/>
      <c r="BL70" s="159"/>
      <c r="BM70" s="144"/>
      <c r="BN70" s="144"/>
      <c r="BO70" s="144"/>
      <c r="BP70" s="144"/>
      <c r="BQ70" s="144"/>
      <c r="BR70" s="144"/>
      <c r="BS70" s="171"/>
      <c r="BT70" s="171"/>
      <c r="BU70" s="171"/>
      <c r="BV70" s="144"/>
      <c r="BW70" s="144"/>
    </row>
    <row r="71" spans="1:256">
      <c r="B71" s="145" t="s">
        <v>5</v>
      </c>
      <c r="C71" s="357">
        <v>419</v>
      </c>
      <c r="D71" s="277">
        <v>2652</v>
      </c>
      <c r="E71" s="358">
        <v>3071</v>
      </c>
      <c r="F71" s="357">
        <v>111</v>
      </c>
      <c r="G71" s="277">
        <v>1438</v>
      </c>
      <c r="H71" s="358">
        <v>1549</v>
      </c>
      <c r="I71" s="146"/>
      <c r="K71" s="147">
        <f t="shared" si="129"/>
        <v>1.903981154713815</v>
      </c>
      <c r="L71" s="148">
        <f t="shared" si="130"/>
        <v>1.0424439230102864E-2</v>
      </c>
      <c r="M71" s="149">
        <f t="shared" si="131"/>
        <v>95.928421464847688</v>
      </c>
      <c r="N71" s="150">
        <f t="shared" si="132"/>
        <v>0.64394703858584978</v>
      </c>
      <c r="O71" s="150">
        <f t="shared" si="133"/>
        <v>61.772822918503934</v>
      </c>
      <c r="P71" s="150">
        <f t="shared" si="134"/>
        <v>0.64394703858584978</v>
      </c>
      <c r="Q71" s="236">
        <f t="shared" si="135"/>
        <v>1.903981154713815</v>
      </c>
      <c r="R71" s="151">
        <f t="shared" si="136"/>
        <v>0.10210014314437989</v>
      </c>
      <c r="S71" s="152">
        <f t="shared" si="137"/>
        <v>1.9599639845400538</v>
      </c>
      <c r="T71" s="153">
        <f t="shared" si="138"/>
        <v>0.44383443520648114</v>
      </c>
      <c r="U71" s="153">
        <f t="shared" si="139"/>
        <v>0.84405964196521843</v>
      </c>
      <c r="V71" s="154">
        <f t="shared" si="140"/>
        <v>1.5586724029832419</v>
      </c>
      <c r="W71" s="155">
        <f t="shared" si="140"/>
        <v>2.3257897108891892</v>
      </c>
      <c r="X71" s="156"/>
      <c r="Z71" s="157">
        <f>(N71-P73)^2</f>
        <v>4.6561533952099859E-2</v>
      </c>
      <c r="AA71" s="158">
        <f t="shared" si="141"/>
        <v>4.4665744530068503</v>
      </c>
      <c r="AB71" s="159">
        <v>1</v>
      </c>
      <c r="AC71" s="144"/>
      <c r="AD71" s="144"/>
      <c r="AE71" s="149">
        <f t="shared" si="142"/>
        <v>9202.2620447374502</v>
      </c>
      <c r="AF71" s="160"/>
      <c r="AG71" s="161">
        <f>AG73</f>
        <v>5.8285259033569951E-2</v>
      </c>
      <c r="AH71" s="161">
        <f>AH73</f>
        <v>5.8285259033569951E-2</v>
      </c>
      <c r="AI71" s="158">
        <f t="shared" si="143"/>
        <v>1.0424439230102864E-2</v>
      </c>
      <c r="AJ71" s="162">
        <f t="shared" si="144"/>
        <v>14.553986195114836</v>
      </c>
      <c r="AK71" s="163">
        <f>AJ71/AJ73</f>
        <v>0.25446335351449656</v>
      </c>
      <c r="AL71" s="164">
        <f t="shared" si="145"/>
        <v>9.3719963099635386</v>
      </c>
      <c r="AM71" s="165">
        <f t="shared" si="146"/>
        <v>0.64394703858584978</v>
      </c>
      <c r="AN71" s="155">
        <f t="shared" si="147"/>
        <v>1.903981154713815</v>
      </c>
      <c r="AO71" s="166">
        <f t="shared" si="148"/>
        <v>6.8709698263672819E-2</v>
      </c>
      <c r="AP71" s="155">
        <f t="shared" si="149"/>
        <v>0.26212534838064178</v>
      </c>
      <c r="AQ71" s="167">
        <f t="shared" si="150"/>
        <v>1.9599639845400538</v>
      </c>
      <c r="AR71" s="153">
        <f t="shared" si="151"/>
        <v>0.13019079632477737</v>
      </c>
      <c r="AS71" s="153">
        <f t="shared" si="152"/>
        <v>1.1577127214119076</v>
      </c>
      <c r="AT71" s="168">
        <f t="shared" si="153"/>
        <v>1.1390456883245508</v>
      </c>
      <c r="AU71" s="168">
        <f t="shared" si="153"/>
        <v>3.1826453479745953</v>
      </c>
      <c r="AV71" s="127"/>
      <c r="AX71" s="169"/>
      <c r="AY71" s="169">
        <v>1</v>
      </c>
      <c r="AZ71" s="170"/>
      <c r="BA71" s="170"/>
      <c r="BC71" s="144"/>
      <c r="BD71" s="144"/>
      <c r="BE71" s="159"/>
      <c r="BF71" s="159"/>
      <c r="BG71" s="159"/>
      <c r="BH71" s="159"/>
      <c r="BI71" s="159"/>
      <c r="BJ71" s="159"/>
      <c r="BK71" s="159"/>
      <c r="BL71" s="159"/>
      <c r="BM71" s="144"/>
      <c r="BN71" s="144"/>
      <c r="BO71" s="144"/>
      <c r="BP71" s="144"/>
      <c r="BQ71" s="144"/>
      <c r="BR71" s="144"/>
      <c r="BS71" s="171"/>
      <c r="BT71" s="171"/>
      <c r="BU71" s="171"/>
      <c r="BV71" s="144"/>
      <c r="BW71" s="144"/>
    </row>
    <row r="72" spans="1:256">
      <c r="B72" s="145" t="s">
        <v>6</v>
      </c>
      <c r="C72" s="357">
        <v>72</v>
      </c>
      <c r="D72" s="277">
        <v>892</v>
      </c>
      <c r="E72" s="358">
        <v>892</v>
      </c>
      <c r="F72" s="357">
        <v>28</v>
      </c>
      <c r="G72" s="277">
        <v>871</v>
      </c>
      <c r="H72" s="358">
        <v>899</v>
      </c>
      <c r="I72" s="146"/>
      <c r="K72" s="147">
        <f t="shared" si="129"/>
        <v>2.5916079436258808</v>
      </c>
      <c r="L72" s="148">
        <f t="shared" si="130"/>
        <v>4.8490827550894289E-2</v>
      </c>
      <c r="M72" s="149">
        <f t="shared" si="131"/>
        <v>20.622456874971554</v>
      </c>
      <c r="N72" s="150">
        <f t="shared" si="132"/>
        <v>0.95227851073246228</v>
      </c>
      <c r="O72" s="150">
        <f t="shared" si="133"/>
        <v>19.638322520542339</v>
      </c>
      <c r="P72" s="150">
        <f t="shared" si="134"/>
        <v>0.95227851073246228</v>
      </c>
      <c r="Q72" s="236">
        <f t="shared" si="135"/>
        <v>2.5916079436258808</v>
      </c>
      <c r="R72" s="151">
        <f t="shared" si="136"/>
        <v>0.22020632949780142</v>
      </c>
      <c r="S72" s="152">
        <f t="shared" si="137"/>
        <v>1.9599639845400538</v>
      </c>
      <c r="T72" s="153">
        <f t="shared" si="138"/>
        <v>0.5206820357490114</v>
      </c>
      <c r="U72" s="153">
        <f t="shared" si="139"/>
        <v>1.3838749857159132</v>
      </c>
      <c r="V72" s="154">
        <f t="shared" si="140"/>
        <v>1.6831752439924876</v>
      </c>
      <c r="W72" s="155">
        <f t="shared" si="140"/>
        <v>3.9903341957034772</v>
      </c>
      <c r="X72" s="156"/>
      <c r="Z72" s="157">
        <f>(N72-P73)^2</f>
        <v>8.565549580974231E-3</v>
      </c>
      <c r="AA72" s="158">
        <f t="shared" si="141"/>
        <v>0.17664267684407176</v>
      </c>
      <c r="AB72" s="159">
        <v>1</v>
      </c>
      <c r="AC72" s="144"/>
      <c r="AD72" s="144"/>
      <c r="AE72" s="149">
        <f t="shared" si="142"/>
        <v>425.28572756006156</v>
      </c>
      <c r="AF72" s="160"/>
      <c r="AG72" s="161">
        <f>AG73</f>
        <v>5.8285259033569951E-2</v>
      </c>
      <c r="AH72" s="161">
        <f>AH73</f>
        <v>5.8285259033569951E-2</v>
      </c>
      <c r="AI72" s="158">
        <f t="shared" si="143"/>
        <v>4.8490827550894289E-2</v>
      </c>
      <c r="AJ72" s="162">
        <f t="shared" si="144"/>
        <v>9.3653928701438147</v>
      </c>
      <c r="AK72" s="163">
        <f>AJ72/AJ73</f>
        <v>0.16374546772055304</v>
      </c>
      <c r="AL72" s="164">
        <f t="shared" si="145"/>
        <v>8.9184623748049727</v>
      </c>
      <c r="AM72" s="165">
        <f t="shared" si="146"/>
        <v>0.95227851073246228</v>
      </c>
      <c r="AN72" s="155">
        <f t="shared" si="147"/>
        <v>2.5916079436258808</v>
      </c>
      <c r="AO72" s="166">
        <f t="shared" si="148"/>
        <v>0.10677608658446423</v>
      </c>
      <c r="AP72" s="155">
        <f t="shared" si="149"/>
        <v>0.32676610378750154</v>
      </c>
      <c r="AQ72" s="167">
        <f t="shared" si="150"/>
        <v>1.9599639845400538</v>
      </c>
      <c r="AR72" s="153">
        <f t="shared" si="151"/>
        <v>0.311828715940482</v>
      </c>
      <c r="AS72" s="153">
        <f t="shared" si="152"/>
        <v>1.5927400741559654</v>
      </c>
      <c r="AT72" s="168">
        <f t="shared" si="153"/>
        <v>1.3659207125468638</v>
      </c>
      <c r="AU72" s="168">
        <f t="shared" si="153"/>
        <v>4.9172039895468416</v>
      </c>
      <c r="AV72" s="127"/>
      <c r="AX72" s="169"/>
      <c r="AY72" s="169">
        <v>1</v>
      </c>
      <c r="AZ72" s="170"/>
      <c r="BA72" s="170"/>
      <c r="BC72" s="144"/>
      <c r="BD72" s="144"/>
      <c r="BE72" s="159"/>
      <c r="BF72" s="159"/>
      <c r="BG72" s="159"/>
      <c r="BH72" s="159"/>
      <c r="BI72" s="159"/>
      <c r="BJ72" s="159"/>
      <c r="BK72" s="159"/>
      <c r="BL72" s="159"/>
      <c r="BM72" s="144"/>
      <c r="BN72" s="144"/>
      <c r="BO72" s="144"/>
      <c r="BP72" s="144"/>
      <c r="BQ72" s="144"/>
      <c r="BR72" s="144"/>
      <c r="BS72" s="171"/>
      <c r="BT72" s="171"/>
      <c r="BU72" s="171"/>
      <c r="BV72" s="144"/>
      <c r="BW72" s="144"/>
    </row>
    <row r="73" spans="1:256">
      <c r="B73" s="77">
        <f>COUNT(C68:C72)</f>
        <v>5</v>
      </c>
      <c r="C73" s="359">
        <f t="shared" ref="C73:H73" si="154">SUM(C68:C72)</f>
        <v>1198</v>
      </c>
      <c r="D73" s="359">
        <f t="shared" si="154"/>
        <v>16141</v>
      </c>
      <c r="E73" s="359">
        <f t="shared" si="154"/>
        <v>17267</v>
      </c>
      <c r="F73" s="359">
        <f t="shared" si="154"/>
        <v>410</v>
      </c>
      <c r="G73" s="359">
        <f t="shared" si="154"/>
        <v>15363</v>
      </c>
      <c r="H73" s="359">
        <f t="shared" si="154"/>
        <v>15773</v>
      </c>
      <c r="I73" s="82"/>
      <c r="K73" s="172"/>
      <c r="L73" s="238"/>
      <c r="M73" s="174">
        <f>SUM(M68:M72)</f>
        <v>318.90567136267958</v>
      </c>
      <c r="N73" s="175"/>
      <c r="O73" s="176">
        <f>SUM(O68:O72)</f>
        <v>274.17221678986675</v>
      </c>
      <c r="P73" s="177">
        <f>O73/M73</f>
        <v>0.85972825637854799</v>
      </c>
      <c r="Q73" s="178">
        <f>EXP(P73)</f>
        <v>2.3625186071062343</v>
      </c>
      <c r="R73" s="78">
        <f>SQRT(1/M73)</f>
        <v>5.5997530972283764E-2</v>
      </c>
      <c r="S73" s="152">
        <f>-NORMSINV(2.5/100)</f>
        <v>1.9599639845400538</v>
      </c>
      <c r="T73" s="179">
        <f>P73-(R73*S73)</f>
        <v>0.74997511244970561</v>
      </c>
      <c r="U73" s="179">
        <f>P73+(R73*S73)</f>
        <v>0.96948140030739038</v>
      </c>
      <c r="V73" s="180">
        <f>EXP(T73)</f>
        <v>2.116947330323907</v>
      </c>
      <c r="W73" s="181">
        <f>EXP(U73)</f>
        <v>2.636576776838929</v>
      </c>
      <c r="X73" s="182"/>
      <c r="Y73" s="182"/>
      <c r="Z73" s="183"/>
      <c r="AA73" s="184">
        <f>SUM(AA68:AA72)</f>
        <v>16.62179621402532</v>
      </c>
      <c r="AB73" s="185">
        <f>SUM(AB68:AB72)</f>
        <v>5</v>
      </c>
      <c r="AC73" s="186">
        <f>AA73-(AB73-1)</f>
        <v>12.62179621402532</v>
      </c>
      <c r="AD73" s="174">
        <f>M73</f>
        <v>318.90567136267958</v>
      </c>
      <c r="AE73" s="174">
        <f>SUM(AE68:AE72)</f>
        <v>32641.129077559839</v>
      </c>
      <c r="AF73" s="187">
        <f>AE73/AD73</f>
        <v>102.35355469874443</v>
      </c>
      <c r="AG73" s="188">
        <f>AC73/(AD73-AF73)</f>
        <v>5.8285259033569951E-2</v>
      </c>
      <c r="AH73" s="188">
        <f>IF(AA73&lt;AB73-1,"0",AG73)</f>
        <v>5.8285259033569951E-2</v>
      </c>
      <c r="AI73" s="183"/>
      <c r="AJ73" s="174">
        <f>SUM(AJ68:AJ72)</f>
        <v>57.194821942349783</v>
      </c>
      <c r="AK73" s="189">
        <f>SUM(AK68:AK72)</f>
        <v>1</v>
      </c>
      <c r="AL73" s="186">
        <f>SUM(AL68:AL72)</f>
        <v>45.893280495918937</v>
      </c>
      <c r="AM73" s="186">
        <f>AL73/AJ73</f>
        <v>0.80240271649376982</v>
      </c>
      <c r="AN73" s="239">
        <f>EXP(AM73)</f>
        <v>2.2308947016127747</v>
      </c>
      <c r="AO73" s="191">
        <f>1/AJ73</f>
        <v>1.7484100239143364E-2</v>
      </c>
      <c r="AP73" s="192">
        <f>SQRT(AO73)</f>
        <v>0.13222745644964726</v>
      </c>
      <c r="AQ73" s="193">
        <f>-NORMSINV(2.5/100)</f>
        <v>1.9599639845400538</v>
      </c>
      <c r="AR73" s="179">
        <f>AM73-(AQ73*AP73)</f>
        <v>0.54324166408512276</v>
      </c>
      <c r="AS73" s="179">
        <f>AM73+(1.96*AP73)</f>
        <v>1.0615685311350784</v>
      </c>
      <c r="AT73" s="240">
        <f>EXP(AR73)</f>
        <v>1.7215786059815372</v>
      </c>
      <c r="AU73" s="241">
        <f>EXP(AS73)</f>
        <v>2.8909019045439055</v>
      </c>
      <c r="AV73" s="242"/>
      <c r="AW73" s="20"/>
      <c r="AX73" s="197">
        <f>AA73</f>
        <v>16.62179621402532</v>
      </c>
      <c r="AY73" s="77">
        <f>SUM(AY68:AY72)</f>
        <v>5</v>
      </c>
      <c r="AZ73" s="198">
        <f>(AX73-(AY73-1))/AX73</f>
        <v>0.75935212124518547</v>
      </c>
      <c r="BA73" s="199">
        <f>IF(AA73&lt;AB73-1,"0%",AZ73)</f>
        <v>0.75935212124518547</v>
      </c>
      <c r="BB73" s="200"/>
      <c r="BC73" s="176">
        <f>AX73/(AY73-1)</f>
        <v>4.15544905350633</v>
      </c>
      <c r="BD73" s="201">
        <f>LN(BC73)</f>
        <v>1.4244204979204675</v>
      </c>
      <c r="BE73" s="176">
        <f>LN(AX73)</f>
        <v>2.8107148590403583</v>
      </c>
      <c r="BF73" s="176">
        <f>LN(AY73-1)</f>
        <v>1.3862943611198906</v>
      </c>
      <c r="BG73" s="176">
        <f>SQRT(2*AX73)</f>
        <v>5.7657256636134395</v>
      </c>
      <c r="BH73" s="176">
        <f>SQRT(2*AY73-3)</f>
        <v>2.6457513110645907</v>
      </c>
      <c r="BI73" s="176">
        <f>2*(AY73-2)</f>
        <v>6</v>
      </c>
      <c r="BJ73" s="176">
        <f>3*(AY73-2)^2</f>
        <v>27</v>
      </c>
      <c r="BK73" s="176">
        <f>1/BI73</f>
        <v>0.16666666666666666</v>
      </c>
      <c r="BL73" s="202">
        <f>1/BJ73</f>
        <v>3.7037037037037035E-2</v>
      </c>
      <c r="BM73" s="202">
        <f>SQRT(BK73*(1-BL73))</f>
        <v>0.40061680838488767</v>
      </c>
      <c r="BN73" s="203">
        <f>0.5*(BE73-BF73)/(BG73-BH73)</f>
        <v>0.22827439218479376</v>
      </c>
      <c r="BO73" s="203">
        <f>IF(AA73&lt;=AB73,BM73,BN73)</f>
        <v>0.22827439218479376</v>
      </c>
      <c r="BP73" s="204">
        <f>BD73-(1.96*BO73)</f>
        <v>0.97700268923827172</v>
      </c>
      <c r="BQ73" s="204">
        <f>BD73+(1.96*BO73)</f>
        <v>1.8718383066026634</v>
      </c>
      <c r="BR73" s="204"/>
      <c r="BS73" s="201">
        <f>EXP(BP73)</f>
        <v>2.6564819951790954</v>
      </c>
      <c r="BT73" s="201">
        <f>EXP(BQ73)</f>
        <v>6.5002348472994234</v>
      </c>
      <c r="BU73" s="205">
        <f>BA73</f>
        <v>0.75935212124518547</v>
      </c>
      <c r="BV73" s="205">
        <f>(BS73-1)/BS73</f>
        <v>0.62356228959399296</v>
      </c>
      <c r="BW73" s="205">
        <f>(BT73-1)/BT73</f>
        <v>0.84615940446898497</v>
      </c>
    </row>
    <row r="74" spans="1:256" ht="13.5" thickBot="1">
      <c r="B74" s="122"/>
      <c r="C74" s="382"/>
      <c r="D74" s="382"/>
      <c r="E74" s="382"/>
      <c r="F74" s="382"/>
      <c r="G74" s="382"/>
      <c r="H74" s="382"/>
      <c r="I74" s="80"/>
      <c r="J74" s="122"/>
      <c r="K74" s="122"/>
      <c r="L74" s="10"/>
      <c r="M74" s="10"/>
      <c r="N74" s="10"/>
      <c r="O74" s="10"/>
      <c r="P74" s="10"/>
      <c r="Q74" s="10"/>
      <c r="R74" s="206"/>
      <c r="S74" s="206"/>
      <c r="T74" s="206"/>
      <c r="U74" s="206"/>
      <c r="V74" s="206"/>
      <c r="W74" s="206"/>
      <c r="X74" s="206"/>
      <c r="Z74" s="10"/>
      <c r="AA74" s="10"/>
      <c r="AB74" s="207"/>
      <c r="AC74" s="208"/>
      <c r="AD74" s="208"/>
      <c r="AE74" s="208"/>
      <c r="AF74" s="210"/>
      <c r="AG74" s="210"/>
      <c r="AH74" s="210"/>
      <c r="AI74" s="2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211"/>
      <c r="AU74" s="211"/>
      <c r="AV74" s="211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212"/>
      <c r="BH74" s="10"/>
      <c r="BI74" s="10"/>
      <c r="BJ74" s="10"/>
      <c r="BK74" s="10"/>
      <c r="BN74" s="208" t="s">
        <v>203</v>
      </c>
      <c r="BT74" s="213" t="s">
        <v>204</v>
      </c>
      <c r="BU74" s="214">
        <f>BU73</f>
        <v>0.75935212124518547</v>
      </c>
      <c r="BV74" s="215">
        <f>IF(BV73&lt;0,"0%",BV73)</f>
        <v>0.62356228959399296</v>
      </c>
      <c r="BW74" s="216">
        <f>IF(BW73&lt;0,"0%",BW73)</f>
        <v>0.84615940446898497</v>
      </c>
    </row>
    <row r="75" spans="1:256" ht="15.75" thickBot="1">
      <c r="B75" s="116"/>
      <c r="C75" s="383"/>
      <c r="D75" s="383"/>
      <c r="E75" s="383"/>
      <c r="F75" s="383"/>
      <c r="G75" s="383"/>
      <c r="H75" s="383"/>
      <c r="I75" s="217"/>
      <c r="J75" s="116"/>
      <c r="K75" s="116"/>
      <c r="L75" s="10"/>
      <c r="M75" s="10"/>
      <c r="N75" s="10"/>
      <c r="O75" s="10"/>
      <c r="P75" s="10"/>
      <c r="Q75" s="10"/>
      <c r="R75" s="218"/>
      <c r="S75" s="218"/>
      <c r="T75" s="218"/>
      <c r="U75" s="218"/>
      <c r="V75" s="218"/>
      <c r="W75" s="218"/>
      <c r="X75" s="218"/>
      <c r="Z75" s="10"/>
      <c r="AA75" s="10"/>
      <c r="AB75" s="10"/>
      <c r="AC75" s="10"/>
      <c r="AD75" s="10"/>
      <c r="AE75" s="10"/>
      <c r="AF75" s="10"/>
      <c r="AG75" s="10"/>
      <c r="AH75" s="10"/>
      <c r="AI75" s="212"/>
      <c r="AJ75" s="26"/>
      <c r="AK75" s="26"/>
      <c r="AL75" s="219"/>
      <c r="AM75" s="220"/>
      <c r="AN75" s="221"/>
      <c r="AO75" s="222" t="s">
        <v>295</v>
      </c>
      <c r="AP75" s="223">
        <f>TINV(0.05,(AB73-2))</f>
        <v>3.1824463052837091</v>
      </c>
      <c r="AQ75" s="10"/>
      <c r="AR75" s="224"/>
      <c r="AS75" s="225" t="s">
        <v>205</v>
      </c>
      <c r="AT75" s="226">
        <f>EXP(AM73-AP75*SQRT((1/AD73)+AH73))</f>
        <v>1.0137829929180908</v>
      </c>
      <c r="AU75" s="227">
        <f>EXP(AM73+AP75*SQRT((1/AD73)+AH73))</f>
        <v>4.9092273242406446</v>
      </c>
      <c r="AV75" s="127"/>
      <c r="AW75" s="10"/>
      <c r="AX75" s="10"/>
      <c r="AY75" s="10"/>
      <c r="AZ75" s="10"/>
      <c r="BB75" s="10"/>
      <c r="BC75" s="10"/>
      <c r="BD75" s="10"/>
      <c r="BF75" s="228"/>
      <c r="BG75" s="212"/>
      <c r="BH75" s="212"/>
      <c r="BJ75" s="156"/>
      <c r="BK75" s="10"/>
      <c r="BL75" s="229"/>
      <c r="BM75" s="230"/>
      <c r="BN75" s="10"/>
      <c r="BQ75" s="229"/>
    </row>
    <row r="76" spans="1:256" ht="15">
      <c r="A76" s="2"/>
      <c r="B76" s="231"/>
      <c r="C76" s="384"/>
      <c r="D76" s="384"/>
      <c r="E76" s="384"/>
      <c r="F76" s="384"/>
      <c r="G76" s="384"/>
      <c r="H76" s="384"/>
      <c r="I76" s="217"/>
      <c r="J76" s="231"/>
      <c r="K76" s="231"/>
      <c r="L76" s="10"/>
      <c r="M76" s="10"/>
      <c r="N76" s="10"/>
      <c r="O76" s="10"/>
      <c r="P76" s="10"/>
      <c r="Q76" s="10"/>
      <c r="R76" s="218"/>
      <c r="S76" s="218"/>
      <c r="T76" s="218"/>
      <c r="U76" s="218"/>
      <c r="V76" s="218"/>
      <c r="W76" s="218"/>
      <c r="X76" s="218"/>
      <c r="Z76" s="10"/>
      <c r="AA76" s="10"/>
      <c r="AB76" s="10"/>
      <c r="AC76" s="10"/>
      <c r="AD76" s="10"/>
      <c r="AE76" s="10"/>
      <c r="AF76" s="10"/>
      <c r="AG76" s="10"/>
      <c r="AH76" s="10"/>
      <c r="AI76" s="212"/>
      <c r="AJ76" s="26"/>
      <c r="AK76" s="26"/>
      <c r="AL76" s="219"/>
      <c r="AM76" s="220"/>
      <c r="AN76" s="232"/>
      <c r="AO76" s="233"/>
      <c r="AP76" s="125"/>
      <c r="AQ76" s="10"/>
      <c r="AR76" s="10"/>
      <c r="AS76" s="234"/>
      <c r="AT76" s="127"/>
      <c r="AU76" s="127"/>
      <c r="AV76" s="127"/>
      <c r="AW76" s="10"/>
      <c r="AX76" s="10"/>
      <c r="AY76" s="10"/>
      <c r="AZ76" s="10"/>
      <c r="BA76" s="2"/>
      <c r="BB76" s="10"/>
      <c r="BC76" s="10"/>
      <c r="BD76" s="10"/>
      <c r="BE76" s="2"/>
      <c r="BF76" s="228"/>
      <c r="BG76" s="212"/>
      <c r="BH76" s="212"/>
      <c r="BI76" s="2"/>
      <c r="BJ76" s="156"/>
      <c r="BK76" s="10"/>
      <c r="BL76" s="3"/>
      <c r="BM76" s="235"/>
      <c r="BN76" s="10"/>
      <c r="BO76" s="2"/>
      <c r="BP76" s="2"/>
      <c r="BQ76" s="3"/>
      <c r="BR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>
      <c r="B77" s="231"/>
      <c r="C77" s="385"/>
      <c r="D77" s="385"/>
      <c r="E77" s="385"/>
      <c r="F77" s="385"/>
      <c r="G77" s="385"/>
      <c r="H77" s="385"/>
      <c r="I77" s="245"/>
    </row>
    <row r="78" spans="1:256">
      <c r="C78" s="385"/>
      <c r="D78" s="385"/>
      <c r="E78" s="385"/>
      <c r="F78" s="385"/>
      <c r="G78" s="385"/>
      <c r="H78" s="385"/>
      <c r="I78" s="245"/>
    </row>
    <row r="79" spans="1:256">
      <c r="C79" s="385"/>
      <c r="D79" s="385"/>
      <c r="E79" s="385"/>
      <c r="F79" s="385"/>
      <c r="G79" s="385"/>
      <c r="H79" s="385"/>
      <c r="I79" s="245"/>
    </row>
    <row r="80" spans="1:256">
      <c r="C80" s="385"/>
      <c r="D80" s="385"/>
      <c r="E80" s="385"/>
      <c r="F80" s="385"/>
      <c r="G80" s="385"/>
      <c r="H80" s="385"/>
      <c r="I80" s="245"/>
    </row>
    <row r="81" spans="3:9">
      <c r="C81" s="385"/>
      <c r="D81" s="385"/>
      <c r="E81" s="385"/>
      <c r="F81" s="385"/>
      <c r="G81" s="385"/>
      <c r="H81" s="385"/>
      <c r="I81" s="245"/>
    </row>
    <row r="82" spans="3:9">
      <c r="C82" s="385"/>
      <c r="D82" s="385"/>
      <c r="E82" s="385"/>
      <c r="F82" s="385"/>
      <c r="G82" s="385"/>
      <c r="H82" s="385"/>
      <c r="I82" s="245"/>
    </row>
    <row r="83" spans="3:9">
      <c r="C83" s="385"/>
      <c r="D83" s="385"/>
      <c r="E83" s="385"/>
      <c r="F83" s="385"/>
      <c r="G83" s="385"/>
      <c r="H83" s="385"/>
      <c r="I83" s="245"/>
    </row>
    <row r="84" spans="3:9">
      <c r="C84" s="385"/>
      <c r="D84" s="385"/>
      <c r="E84" s="385"/>
      <c r="F84" s="385"/>
      <c r="G84" s="385"/>
      <c r="H84" s="385"/>
      <c r="I84" s="245"/>
    </row>
    <row r="85" spans="3:9">
      <c r="C85" s="385"/>
      <c r="D85" s="385"/>
      <c r="E85" s="385"/>
      <c r="F85" s="385"/>
      <c r="G85" s="385"/>
      <c r="H85" s="385"/>
      <c r="I85" s="245"/>
    </row>
    <row r="86" spans="3:9">
      <c r="C86" s="385"/>
      <c r="D86" s="385"/>
      <c r="E86" s="385"/>
      <c r="F86" s="385"/>
      <c r="G86" s="385"/>
      <c r="H86" s="385"/>
      <c r="I86" s="245"/>
    </row>
    <row r="87" spans="3:9">
      <c r="C87" s="385"/>
      <c r="D87" s="385"/>
      <c r="E87" s="385"/>
      <c r="F87" s="385"/>
      <c r="G87" s="385"/>
      <c r="H87" s="385"/>
      <c r="I87" s="245"/>
    </row>
    <row r="88" spans="3:9">
      <c r="C88" s="385"/>
      <c r="D88" s="385"/>
      <c r="E88" s="385"/>
      <c r="F88" s="385"/>
      <c r="G88" s="385"/>
      <c r="H88" s="385"/>
      <c r="I88" s="245"/>
    </row>
    <row r="89" spans="3:9">
      <c r="C89" s="385"/>
      <c r="D89" s="385"/>
      <c r="E89" s="385"/>
      <c r="F89" s="385"/>
      <c r="G89" s="385"/>
      <c r="H89" s="385"/>
      <c r="I89" s="245"/>
    </row>
    <row r="90" spans="3:9">
      <c r="C90" s="385"/>
      <c r="D90" s="385"/>
      <c r="E90" s="385"/>
      <c r="F90" s="385"/>
      <c r="G90" s="385"/>
      <c r="H90" s="385"/>
      <c r="I90" s="245"/>
    </row>
    <row r="91" spans="3:9">
      <c r="C91" s="385"/>
      <c r="D91" s="385"/>
      <c r="E91" s="385"/>
      <c r="F91" s="385"/>
      <c r="G91" s="385"/>
      <c r="H91" s="385"/>
      <c r="I91" s="245"/>
    </row>
    <row r="92" spans="3:9">
      <c r="C92" s="385"/>
      <c r="D92" s="385"/>
      <c r="E92" s="385"/>
      <c r="F92" s="385"/>
      <c r="G92" s="385"/>
      <c r="H92" s="385"/>
      <c r="I92" s="245"/>
    </row>
    <row r="93" spans="3:9">
      <c r="C93" s="385"/>
      <c r="D93" s="385"/>
      <c r="E93" s="385"/>
      <c r="F93" s="385"/>
      <c r="G93" s="385"/>
      <c r="H93" s="385"/>
      <c r="I93" s="245"/>
    </row>
    <row r="94" spans="3:9">
      <c r="C94" s="385"/>
      <c r="D94" s="385"/>
      <c r="E94" s="385"/>
      <c r="F94" s="385"/>
      <c r="G94" s="385"/>
      <c r="H94" s="385"/>
      <c r="I94" s="245"/>
    </row>
    <row r="95" spans="3:9">
      <c r="C95" s="385"/>
      <c r="D95" s="385"/>
      <c r="E95" s="385"/>
      <c r="F95" s="385"/>
      <c r="G95" s="385"/>
      <c r="H95" s="385"/>
      <c r="I95" s="245"/>
    </row>
    <row r="96" spans="3:9">
      <c r="C96" s="385"/>
      <c r="D96" s="385"/>
      <c r="E96" s="385"/>
      <c r="F96" s="385"/>
      <c r="G96" s="385"/>
      <c r="H96" s="385"/>
      <c r="I96" s="245"/>
    </row>
    <row r="97" spans="3:9">
      <c r="C97" s="385"/>
      <c r="D97" s="385"/>
      <c r="E97" s="385"/>
      <c r="F97" s="385"/>
      <c r="G97" s="385"/>
      <c r="H97" s="385"/>
      <c r="I97" s="245"/>
    </row>
    <row r="98" spans="3:9">
      <c r="C98" s="385"/>
      <c r="D98" s="385"/>
      <c r="E98" s="385"/>
      <c r="F98" s="385"/>
      <c r="G98" s="385"/>
      <c r="H98" s="385"/>
      <c r="I98" s="245"/>
    </row>
    <row r="99" spans="3:9">
      <c r="C99" s="385"/>
      <c r="D99" s="385"/>
      <c r="E99" s="385"/>
      <c r="F99" s="385"/>
      <c r="G99" s="385"/>
      <c r="H99" s="385"/>
      <c r="I99" s="245"/>
    </row>
    <row r="100" spans="3:9">
      <c r="C100" s="385"/>
      <c r="D100" s="385"/>
      <c r="E100" s="385"/>
      <c r="F100" s="385"/>
      <c r="G100" s="385"/>
      <c r="H100" s="385"/>
      <c r="I100" s="245"/>
    </row>
    <row r="101" spans="3:9">
      <c r="C101" s="385"/>
      <c r="D101" s="385"/>
      <c r="E101" s="385"/>
      <c r="F101" s="385"/>
      <c r="G101" s="385"/>
      <c r="H101" s="385"/>
      <c r="I101" s="245"/>
    </row>
    <row r="102" spans="3:9">
      <c r="C102" s="385"/>
      <c r="D102" s="385"/>
      <c r="E102" s="385"/>
      <c r="F102" s="385"/>
      <c r="G102" s="385"/>
      <c r="H102" s="385"/>
      <c r="I102" s="245"/>
    </row>
    <row r="103" spans="3:9">
      <c r="C103" s="385"/>
      <c r="D103" s="385"/>
      <c r="E103" s="385"/>
      <c r="F103" s="385"/>
      <c r="G103" s="385"/>
      <c r="H103" s="385"/>
      <c r="I103" s="245"/>
    </row>
    <row r="104" spans="3:9">
      <c r="C104" s="385"/>
      <c r="D104" s="385"/>
      <c r="E104" s="385"/>
      <c r="F104" s="385"/>
      <c r="G104" s="385"/>
      <c r="H104" s="385"/>
      <c r="I104" s="245"/>
    </row>
    <row r="105" spans="3:9">
      <c r="C105" s="385"/>
      <c r="D105" s="385"/>
      <c r="E105" s="385"/>
      <c r="F105" s="385"/>
      <c r="G105" s="385"/>
      <c r="H105" s="385"/>
      <c r="I105" s="245"/>
    </row>
    <row r="106" spans="3:9">
      <c r="C106" s="385"/>
      <c r="D106" s="385"/>
      <c r="E106" s="385"/>
      <c r="F106" s="385"/>
      <c r="G106" s="385"/>
      <c r="H106" s="385"/>
      <c r="I106" s="245"/>
    </row>
    <row r="107" spans="3:9">
      <c r="C107" s="385"/>
      <c r="D107" s="385"/>
      <c r="E107" s="385"/>
      <c r="F107" s="385"/>
      <c r="G107" s="385"/>
      <c r="H107" s="385"/>
      <c r="I107" s="245"/>
    </row>
    <row r="108" spans="3:9">
      <c r="C108" s="385"/>
      <c r="D108" s="385"/>
      <c r="E108" s="385"/>
      <c r="F108" s="385"/>
      <c r="G108" s="385"/>
      <c r="H108" s="385"/>
      <c r="I108" s="245"/>
    </row>
    <row r="109" spans="3:9">
      <c r="C109" s="244"/>
      <c r="D109" s="244"/>
      <c r="E109" s="244"/>
      <c r="F109" s="244"/>
      <c r="G109" s="244"/>
      <c r="H109" s="244"/>
      <c r="I109" s="245"/>
    </row>
    <row r="110" spans="3:9">
      <c r="C110" s="244"/>
      <c r="D110" s="244"/>
      <c r="E110" s="244"/>
      <c r="F110" s="244"/>
      <c r="G110" s="244"/>
      <c r="H110" s="244"/>
      <c r="I110" s="245"/>
    </row>
    <row r="111" spans="3:9">
      <c r="C111" s="244"/>
      <c r="D111" s="244"/>
      <c r="E111" s="244"/>
      <c r="F111" s="244"/>
      <c r="G111" s="244"/>
      <c r="H111" s="244"/>
      <c r="I111" s="245"/>
    </row>
    <row r="112" spans="3:9">
      <c r="C112" s="244"/>
      <c r="D112" s="244"/>
      <c r="E112" s="244"/>
      <c r="F112" s="244"/>
      <c r="G112" s="244"/>
      <c r="H112" s="244"/>
      <c r="I112" s="245"/>
    </row>
    <row r="113" spans="3:9">
      <c r="C113" s="244"/>
      <c r="D113" s="244"/>
      <c r="E113" s="244"/>
      <c r="F113" s="244"/>
      <c r="G113" s="244"/>
      <c r="H113" s="244"/>
      <c r="I113" s="245"/>
    </row>
    <row r="114" spans="3:9">
      <c r="C114" s="244"/>
      <c r="D114" s="244"/>
      <c r="E114" s="244"/>
      <c r="F114" s="244"/>
      <c r="G114" s="244"/>
      <c r="H114" s="244"/>
      <c r="I114" s="245"/>
    </row>
    <row r="115" spans="3:9">
      <c r="C115" s="244"/>
      <c r="D115" s="244"/>
      <c r="E115" s="244"/>
      <c r="F115" s="244"/>
      <c r="G115" s="244"/>
      <c r="H115" s="244"/>
      <c r="I115" s="245"/>
    </row>
    <row r="116" spans="3:9">
      <c r="C116" s="244"/>
      <c r="D116" s="244"/>
      <c r="E116" s="244"/>
      <c r="F116" s="244"/>
      <c r="G116" s="244"/>
      <c r="H116" s="244"/>
      <c r="I116" s="245"/>
    </row>
    <row r="117" spans="3:9">
      <c r="C117" s="244"/>
      <c r="D117" s="244"/>
      <c r="E117" s="244"/>
      <c r="F117" s="244"/>
      <c r="G117" s="244"/>
      <c r="H117" s="244"/>
      <c r="I117" s="245"/>
    </row>
    <row r="118" spans="3:9">
      <c r="C118" s="244"/>
      <c r="D118" s="244"/>
      <c r="E118" s="244"/>
      <c r="F118" s="244"/>
      <c r="G118" s="244"/>
      <c r="H118" s="244"/>
      <c r="I118" s="245"/>
    </row>
    <row r="119" spans="3:9">
      <c r="C119" s="244"/>
      <c r="D119" s="244"/>
      <c r="E119" s="244"/>
      <c r="F119" s="244"/>
      <c r="G119" s="244"/>
      <c r="H119" s="244"/>
      <c r="I119" s="245"/>
    </row>
    <row r="120" spans="3:9">
      <c r="C120" s="244"/>
      <c r="D120" s="244"/>
      <c r="E120" s="244"/>
      <c r="F120" s="244"/>
      <c r="G120" s="244"/>
      <c r="H120" s="244"/>
      <c r="I120" s="245"/>
    </row>
    <row r="121" spans="3:9">
      <c r="C121" s="244"/>
      <c r="D121" s="244"/>
      <c r="E121" s="244"/>
      <c r="F121" s="244"/>
      <c r="G121" s="244"/>
      <c r="H121" s="244"/>
      <c r="I121" s="245"/>
    </row>
    <row r="122" spans="3:9">
      <c r="C122" s="244"/>
      <c r="D122" s="244"/>
      <c r="E122" s="244"/>
      <c r="F122" s="244"/>
      <c r="G122" s="244"/>
      <c r="H122" s="244"/>
      <c r="I122" s="245"/>
    </row>
    <row r="123" spans="3:9">
      <c r="C123" s="244"/>
      <c r="D123" s="244"/>
      <c r="E123" s="244"/>
      <c r="F123" s="244"/>
      <c r="G123" s="244"/>
      <c r="H123" s="244"/>
      <c r="I123" s="245"/>
    </row>
    <row r="124" spans="3:9">
      <c r="C124" s="244"/>
      <c r="D124" s="244"/>
      <c r="E124" s="244"/>
      <c r="F124" s="244"/>
      <c r="G124" s="244"/>
      <c r="H124" s="244"/>
      <c r="I124" s="245"/>
    </row>
    <row r="125" spans="3:9">
      <c r="C125" s="244"/>
      <c r="D125" s="244"/>
      <c r="E125" s="244"/>
      <c r="F125" s="244"/>
      <c r="G125" s="244"/>
      <c r="H125" s="244"/>
      <c r="I125" s="245"/>
    </row>
    <row r="126" spans="3:9">
      <c r="C126" s="244"/>
      <c r="D126" s="244"/>
      <c r="E126" s="244"/>
      <c r="F126" s="244"/>
      <c r="G126" s="244"/>
      <c r="H126" s="244"/>
      <c r="I126" s="245"/>
    </row>
    <row r="127" spans="3:9">
      <c r="C127" s="244"/>
      <c r="D127" s="244"/>
      <c r="E127" s="244"/>
      <c r="F127" s="244"/>
      <c r="G127" s="244"/>
      <c r="H127" s="244"/>
      <c r="I127" s="245"/>
    </row>
    <row r="128" spans="3:9">
      <c r="C128" s="244"/>
      <c r="D128" s="244"/>
      <c r="E128" s="244"/>
      <c r="F128" s="244"/>
      <c r="G128" s="244"/>
      <c r="H128" s="244"/>
      <c r="I128" s="245"/>
    </row>
    <row r="129" spans="3:9">
      <c r="C129" s="244"/>
      <c r="D129" s="244"/>
      <c r="E129" s="244"/>
      <c r="F129" s="244"/>
      <c r="G129" s="244"/>
      <c r="H129" s="244"/>
      <c r="I129" s="245"/>
    </row>
    <row r="130" spans="3:9">
      <c r="C130" s="244"/>
      <c r="D130" s="244"/>
      <c r="E130" s="244"/>
      <c r="F130" s="244"/>
      <c r="G130" s="244"/>
      <c r="H130" s="244"/>
      <c r="I130" s="245"/>
    </row>
    <row r="131" spans="3:9">
      <c r="C131" s="244"/>
      <c r="D131" s="244"/>
      <c r="E131" s="244"/>
      <c r="F131" s="244"/>
      <c r="G131" s="244"/>
      <c r="H131" s="244"/>
      <c r="I131" s="245"/>
    </row>
    <row r="132" spans="3:9">
      <c r="C132" s="244"/>
      <c r="D132" s="244"/>
      <c r="E132" s="244"/>
      <c r="F132" s="244"/>
      <c r="G132" s="244"/>
      <c r="H132" s="244"/>
      <c r="I132" s="245"/>
    </row>
    <row r="133" spans="3:9">
      <c r="C133" s="244"/>
      <c r="D133" s="244"/>
      <c r="E133" s="244"/>
      <c r="F133" s="244"/>
      <c r="G133" s="244"/>
      <c r="H133" s="244"/>
      <c r="I133" s="245"/>
    </row>
    <row r="134" spans="3:9">
      <c r="C134" s="244"/>
      <c r="D134" s="244"/>
      <c r="E134" s="244"/>
      <c r="F134" s="244"/>
      <c r="G134" s="244"/>
      <c r="H134" s="244"/>
      <c r="I134" s="245"/>
    </row>
    <row r="135" spans="3:9">
      <c r="C135" s="244"/>
      <c r="D135" s="244"/>
      <c r="E135" s="244"/>
      <c r="F135" s="244"/>
      <c r="G135" s="244"/>
      <c r="H135" s="244"/>
      <c r="I135" s="245"/>
    </row>
    <row r="136" spans="3:9">
      <c r="C136" s="244"/>
      <c r="D136" s="244"/>
      <c r="E136" s="244"/>
      <c r="F136" s="244"/>
      <c r="G136" s="244"/>
      <c r="H136" s="244"/>
      <c r="I136" s="245"/>
    </row>
    <row r="137" spans="3:9">
      <c r="C137" s="244"/>
      <c r="D137" s="244"/>
      <c r="E137" s="244"/>
      <c r="F137" s="244"/>
      <c r="G137" s="244"/>
      <c r="H137" s="244"/>
      <c r="I137" s="245"/>
    </row>
    <row r="138" spans="3:9">
      <c r="C138" s="244"/>
      <c r="D138" s="244"/>
      <c r="E138" s="244"/>
      <c r="F138" s="244"/>
      <c r="G138" s="244"/>
      <c r="H138" s="244"/>
      <c r="I138" s="245"/>
    </row>
    <row r="139" spans="3:9">
      <c r="C139" s="244"/>
      <c r="D139" s="244"/>
      <c r="E139" s="244"/>
      <c r="F139" s="244"/>
      <c r="G139" s="244"/>
      <c r="H139" s="244"/>
      <c r="I139" s="245"/>
    </row>
    <row r="140" spans="3:9">
      <c r="C140" s="244"/>
      <c r="D140" s="244"/>
      <c r="E140" s="244"/>
      <c r="F140" s="244"/>
      <c r="G140" s="244"/>
      <c r="H140" s="244"/>
      <c r="I140" s="245"/>
    </row>
    <row r="141" spans="3:9">
      <c r="C141" s="244"/>
      <c r="D141" s="244"/>
      <c r="E141" s="244"/>
      <c r="F141" s="244"/>
      <c r="G141" s="244"/>
      <c r="H141" s="244"/>
      <c r="I141" s="245"/>
    </row>
    <row r="142" spans="3:9">
      <c r="C142" s="244"/>
      <c r="D142" s="244"/>
      <c r="E142" s="244"/>
      <c r="F142" s="244"/>
      <c r="G142" s="244"/>
      <c r="H142" s="244"/>
      <c r="I142" s="245"/>
    </row>
    <row r="143" spans="3:9">
      <c r="C143" s="244"/>
      <c r="D143" s="244"/>
      <c r="E143" s="244"/>
      <c r="F143" s="244"/>
      <c r="G143" s="244"/>
      <c r="H143" s="244"/>
      <c r="I143" s="245"/>
    </row>
    <row r="144" spans="3:9">
      <c r="C144" s="244"/>
      <c r="D144" s="244"/>
      <c r="E144" s="244"/>
      <c r="F144" s="244"/>
      <c r="G144" s="244"/>
      <c r="H144" s="244"/>
      <c r="I144" s="245"/>
    </row>
    <row r="145" spans="3:9">
      <c r="C145" s="244"/>
      <c r="D145" s="244"/>
      <c r="E145" s="244"/>
      <c r="F145" s="244"/>
      <c r="G145" s="244"/>
      <c r="H145" s="244"/>
      <c r="I145" s="245"/>
    </row>
    <row r="146" spans="3:9">
      <c r="C146" s="244"/>
      <c r="D146" s="244"/>
      <c r="E146" s="244"/>
      <c r="F146" s="244"/>
      <c r="G146" s="244"/>
      <c r="H146" s="244"/>
      <c r="I146" s="245"/>
    </row>
    <row r="147" spans="3:9">
      <c r="C147" s="244"/>
      <c r="D147" s="244"/>
      <c r="E147" s="244"/>
      <c r="F147" s="244"/>
      <c r="G147" s="244"/>
      <c r="H147" s="244"/>
      <c r="I147" s="245"/>
    </row>
    <row r="148" spans="3:9">
      <c r="C148" s="244"/>
      <c r="D148" s="244"/>
      <c r="E148" s="244"/>
      <c r="F148" s="244"/>
      <c r="G148" s="244"/>
      <c r="H148" s="244"/>
      <c r="I148" s="245"/>
    </row>
    <row r="149" spans="3:9">
      <c r="C149" s="244"/>
      <c r="D149" s="244"/>
      <c r="E149" s="244"/>
      <c r="F149" s="244"/>
      <c r="G149" s="244"/>
      <c r="H149" s="244"/>
      <c r="I149" s="245"/>
    </row>
    <row r="150" spans="3:9">
      <c r="C150" s="244"/>
      <c r="D150" s="244"/>
      <c r="E150" s="244"/>
      <c r="F150" s="244"/>
      <c r="G150" s="244"/>
      <c r="H150" s="244"/>
      <c r="I150" s="245"/>
    </row>
    <row r="151" spans="3:9">
      <c r="C151" s="244"/>
      <c r="D151" s="244"/>
      <c r="E151" s="244"/>
      <c r="F151" s="244"/>
      <c r="G151" s="244"/>
      <c r="H151" s="244"/>
      <c r="I151" s="245"/>
    </row>
    <row r="152" spans="3:9">
      <c r="C152" s="244"/>
      <c r="D152" s="244"/>
      <c r="E152" s="244"/>
      <c r="F152" s="244"/>
      <c r="G152" s="244"/>
      <c r="H152" s="244"/>
      <c r="I152" s="245"/>
    </row>
    <row r="153" spans="3:9">
      <c r="C153" s="244"/>
      <c r="D153" s="244"/>
      <c r="E153" s="244"/>
      <c r="F153" s="244"/>
      <c r="G153" s="244"/>
      <c r="H153" s="244"/>
      <c r="I153" s="245"/>
    </row>
    <row r="154" spans="3:9">
      <c r="C154" s="244"/>
      <c r="D154" s="244"/>
      <c r="E154" s="244"/>
      <c r="F154" s="244"/>
      <c r="G154" s="244"/>
      <c r="H154" s="244"/>
      <c r="I154" s="245"/>
    </row>
    <row r="155" spans="3:9">
      <c r="C155" s="244"/>
      <c r="D155" s="244"/>
      <c r="E155" s="244"/>
      <c r="F155" s="244"/>
      <c r="G155" s="244"/>
      <c r="H155" s="244"/>
      <c r="I155" s="245"/>
    </row>
    <row r="156" spans="3:9">
      <c r="C156" s="244"/>
      <c r="D156" s="244"/>
      <c r="E156" s="244"/>
      <c r="F156" s="244"/>
      <c r="G156" s="244"/>
      <c r="H156" s="244"/>
      <c r="I156" s="245"/>
    </row>
    <row r="157" spans="3:9">
      <c r="C157" s="244"/>
      <c r="D157" s="244"/>
      <c r="E157" s="244"/>
      <c r="F157" s="244"/>
      <c r="G157" s="244"/>
      <c r="H157" s="244"/>
      <c r="I157" s="245"/>
    </row>
    <row r="158" spans="3:9">
      <c r="C158" s="244"/>
      <c r="D158" s="244"/>
      <c r="E158" s="244"/>
      <c r="F158" s="244"/>
      <c r="G158" s="244"/>
      <c r="H158" s="244"/>
      <c r="I158" s="245"/>
    </row>
    <row r="159" spans="3:9">
      <c r="C159" s="244"/>
      <c r="D159" s="244"/>
      <c r="E159" s="244"/>
      <c r="F159" s="244"/>
      <c r="G159" s="244"/>
      <c r="H159" s="244"/>
      <c r="I159" s="245"/>
    </row>
    <row r="160" spans="3:9">
      <c r="C160" s="244"/>
      <c r="D160" s="244"/>
      <c r="E160" s="244"/>
      <c r="F160" s="244"/>
      <c r="G160" s="244"/>
      <c r="H160" s="244"/>
      <c r="I160" s="245"/>
    </row>
    <row r="161" spans="3:9">
      <c r="C161" s="244"/>
      <c r="D161" s="244"/>
      <c r="E161" s="244"/>
      <c r="F161" s="244"/>
      <c r="G161" s="244"/>
      <c r="H161" s="244"/>
      <c r="I161" s="245"/>
    </row>
    <row r="162" spans="3:9">
      <c r="C162" s="244"/>
      <c r="D162" s="244"/>
      <c r="E162" s="244"/>
      <c r="F162" s="244"/>
      <c r="G162" s="244"/>
      <c r="H162" s="244"/>
      <c r="I162" s="245"/>
    </row>
    <row r="163" spans="3:9">
      <c r="C163" s="244"/>
      <c r="D163" s="244"/>
      <c r="E163" s="244"/>
      <c r="F163" s="244"/>
      <c r="G163" s="244"/>
      <c r="H163" s="244"/>
      <c r="I163" s="245"/>
    </row>
    <row r="164" spans="3:9">
      <c r="C164" s="244"/>
      <c r="D164" s="244"/>
      <c r="E164" s="244"/>
      <c r="F164" s="244"/>
      <c r="G164" s="244"/>
      <c r="H164" s="244"/>
      <c r="I164" s="245"/>
    </row>
    <row r="165" spans="3:9">
      <c r="C165" s="244"/>
      <c r="D165" s="244"/>
      <c r="E165" s="244"/>
      <c r="F165" s="244"/>
      <c r="G165" s="244"/>
      <c r="H165" s="244"/>
      <c r="I165" s="245"/>
    </row>
    <row r="166" spans="3:9">
      <c r="C166" s="244"/>
      <c r="D166" s="244"/>
      <c r="E166" s="244"/>
      <c r="F166" s="244"/>
      <c r="G166" s="244"/>
      <c r="H166" s="244"/>
      <c r="I166" s="245"/>
    </row>
    <row r="167" spans="3:9">
      <c r="C167" s="244"/>
      <c r="D167" s="244"/>
      <c r="E167" s="244"/>
      <c r="F167" s="244"/>
      <c r="G167" s="244"/>
      <c r="H167" s="244"/>
      <c r="I167" s="245"/>
    </row>
    <row r="168" spans="3:9">
      <c r="C168" s="244"/>
      <c r="D168" s="244"/>
      <c r="E168" s="244"/>
      <c r="F168" s="244"/>
      <c r="G168" s="244"/>
      <c r="H168" s="244"/>
      <c r="I168" s="245"/>
    </row>
    <row r="169" spans="3:9">
      <c r="C169" s="244"/>
      <c r="D169" s="244"/>
      <c r="E169" s="244"/>
      <c r="F169" s="244"/>
      <c r="G169" s="244"/>
      <c r="H169" s="244"/>
      <c r="I169" s="245"/>
    </row>
    <row r="170" spans="3:9">
      <c r="C170" s="244"/>
      <c r="D170" s="244"/>
      <c r="E170" s="244"/>
      <c r="F170" s="244"/>
      <c r="G170" s="244"/>
      <c r="H170" s="244"/>
      <c r="I170" s="245"/>
    </row>
    <row r="171" spans="3:9">
      <c r="C171" s="244"/>
      <c r="D171" s="244"/>
      <c r="E171" s="244"/>
      <c r="F171" s="244"/>
      <c r="G171" s="244"/>
      <c r="H171" s="244"/>
      <c r="I171" s="245"/>
    </row>
    <row r="172" spans="3:9">
      <c r="C172" s="244"/>
      <c r="D172" s="244"/>
      <c r="E172" s="244"/>
      <c r="F172" s="244"/>
      <c r="G172" s="244"/>
      <c r="H172" s="244"/>
      <c r="I172" s="245"/>
    </row>
    <row r="173" spans="3:9">
      <c r="C173" s="244"/>
      <c r="D173" s="244"/>
      <c r="E173" s="244"/>
      <c r="F173" s="244"/>
      <c r="G173" s="244"/>
      <c r="H173" s="244"/>
      <c r="I173" s="245"/>
    </row>
    <row r="174" spans="3:9">
      <c r="C174" s="244"/>
      <c r="D174" s="244"/>
      <c r="E174" s="244"/>
      <c r="F174" s="244"/>
      <c r="G174" s="244"/>
      <c r="H174" s="244"/>
      <c r="I174" s="245"/>
    </row>
    <row r="175" spans="3:9">
      <c r="C175" s="244"/>
      <c r="D175" s="244"/>
      <c r="E175" s="244"/>
      <c r="F175" s="244"/>
      <c r="G175" s="244"/>
      <c r="H175" s="244"/>
      <c r="I175" s="245"/>
    </row>
    <row r="176" spans="3:9">
      <c r="C176" s="244"/>
      <c r="D176" s="244"/>
      <c r="E176" s="244"/>
      <c r="F176" s="244"/>
      <c r="G176" s="244"/>
      <c r="H176" s="244"/>
      <c r="I176" s="245"/>
    </row>
    <row r="177" spans="3:9">
      <c r="C177" s="244"/>
      <c r="D177" s="244"/>
      <c r="E177" s="244"/>
      <c r="F177" s="244"/>
      <c r="G177" s="244"/>
      <c r="H177" s="244"/>
      <c r="I177" s="245"/>
    </row>
    <row r="178" spans="3:9">
      <c r="C178" s="244"/>
      <c r="D178" s="244"/>
      <c r="E178" s="244"/>
      <c r="F178" s="244"/>
      <c r="G178" s="244"/>
      <c r="H178" s="244"/>
      <c r="I178" s="245"/>
    </row>
    <row r="179" spans="3:9">
      <c r="C179" s="244"/>
      <c r="D179" s="244"/>
      <c r="E179" s="244"/>
      <c r="F179" s="244"/>
      <c r="G179" s="244"/>
      <c r="H179" s="244"/>
      <c r="I179" s="245"/>
    </row>
    <row r="180" spans="3:9">
      <c r="C180" s="244"/>
      <c r="D180" s="244"/>
      <c r="E180" s="244"/>
      <c r="F180" s="244"/>
      <c r="G180" s="244"/>
      <c r="H180" s="244"/>
      <c r="I180" s="245"/>
    </row>
    <row r="181" spans="3:9">
      <c r="C181" s="244"/>
      <c r="D181" s="244"/>
      <c r="E181" s="244"/>
      <c r="F181" s="244"/>
      <c r="G181" s="244"/>
      <c r="H181" s="244"/>
      <c r="I181" s="245"/>
    </row>
    <row r="182" spans="3:9">
      <c r="C182" s="244"/>
      <c r="D182" s="244"/>
      <c r="E182" s="244"/>
      <c r="F182" s="244"/>
      <c r="G182" s="244"/>
      <c r="H182" s="244"/>
      <c r="I182" s="245"/>
    </row>
    <row r="183" spans="3:9">
      <c r="C183" s="244"/>
      <c r="D183" s="244"/>
      <c r="E183" s="244"/>
      <c r="F183" s="244"/>
      <c r="G183" s="244"/>
      <c r="H183" s="244"/>
      <c r="I183" s="245"/>
    </row>
    <row r="184" spans="3:9">
      <c r="C184" s="244"/>
      <c r="D184" s="244"/>
      <c r="E184" s="244"/>
      <c r="F184" s="244"/>
      <c r="G184" s="244"/>
      <c r="H184" s="244"/>
      <c r="I184" s="245"/>
    </row>
    <row r="185" spans="3:9">
      <c r="C185" s="244"/>
      <c r="D185" s="244"/>
      <c r="E185" s="244"/>
      <c r="F185" s="244"/>
      <c r="G185" s="244"/>
      <c r="H185" s="244"/>
      <c r="I185" s="245"/>
    </row>
    <row r="186" spans="3:9">
      <c r="C186" s="244"/>
      <c r="D186" s="244"/>
      <c r="E186" s="244"/>
      <c r="F186" s="244"/>
      <c r="G186" s="244"/>
      <c r="H186" s="244"/>
      <c r="I186" s="245"/>
    </row>
    <row r="187" spans="3:9">
      <c r="C187" s="244"/>
      <c r="D187" s="244"/>
      <c r="E187" s="244"/>
      <c r="F187" s="244"/>
      <c r="G187" s="244"/>
      <c r="H187" s="244"/>
      <c r="I187" s="245"/>
    </row>
    <row r="188" spans="3:9">
      <c r="C188" s="244"/>
      <c r="D188" s="244"/>
      <c r="E188" s="244"/>
      <c r="F188" s="244"/>
      <c r="G188" s="244"/>
      <c r="H188" s="244"/>
      <c r="I188" s="245"/>
    </row>
    <row r="189" spans="3:9">
      <c r="C189" s="244"/>
      <c r="D189" s="244"/>
      <c r="E189" s="244"/>
      <c r="F189" s="244"/>
      <c r="G189" s="244"/>
      <c r="H189" s="244"/>
      <c r="I189" s="245"/>
    </row>
    <row r="190" spans="3:9">
      <c r="C190" s="244"/>
      <c r="D190" s="244"/>
      <c r="E190" s="244"/>
      <c r="F190" s="244"/>
      <c r="G190" s="244"/>
      <c r="H190" s="244"/>
      <c r="I190" s="245"/>
    </row>
    <row r="191" spans="3:9">
      <c r="C191" s="244"/>
      <c r="D191" s="244"/>
      <c r="E191" s="244"/>
      <c r="F191" s="244"/>
      <c r="G191" s="244"/>
      <c r="H191" s="244"/>
      <c r="I191" s="245"/>
    </row>
    <row r="192" spans="3:9">
      <c r="C192" s="244"/>
      <c r="D192" s="244"/>
      <c r="E192" s="244"/>
      <c r="F192" s="244"/>
      <c r="G192" s="244"/>
      <c r="H192" s="244"/>
      <c r="I192" s="245"/>
    </row>
    <row r="193" spans="3:9">
      <c r="C193" s="244"/>
      <c r="D193" s="244"/>
      <c r="E193" s="244"/>
      <c r="F193" s="244"/>
      <c r="G193" s="244"/>
      <c r="H193" s="244"/>
      <c r="I193" s="245"/>
    </row>
    <row r="194" spans="3:9">
      <c r="C194" s="244"/>
      <c r="D194" s="244"/>
      <c r="E194" s="244"/>
      <c r="F194" s="244"/>
      <c r="G194" s="244"/>
      <c r="H194" s="244"/>
      <c r="I194" s="245"/>
    </row>
    <row r="195" spans="3:9">
      <c r="C195" s="244"/>
      <c r="D195" s="244"/>
      <c r="E195" s="244"/>
      <c r="F195" s="244"/>
      <c r="G195" s="244"/>
      <c r="H195" s="244"/>
      <c r="I195" s="245"/>
    </row>
    <row r="196" spans="3:9">
      <c r="C196" s="244"/>
      <c r="D196" s="244"/>
      <c r="E196" s="244"/>
      <c r="F196" s="244"/>
      <c r="G196" s="244"/>
      <c r="H196" s="244"/>
      <c r="I196" s="245"/>
    </row>
    <row r="197" spans="3:9">
      <c r="C197" s="244"/>
      <c r="D197" s="244"/>
      <c r="E197" s="244"/>
      <c r="F197" s="244"/>
      <c r="G197" s="244"/>
      <c r="H197" s="244"/>
      <c r="I197" s="245"/>
    </row>
    <row r="198" spans="3:9">
      <c r="C198" s="244"/>
      <c r="D198" s="244"/>
      <c r="E198" s="244"/>
      <c r="F198" s="244"/>
      <c r="G198" s="244"/>
      <c r="H198" s="244"/>
      <c r="I198" s="245"/>
    </row>
    <row r="199" spans="3:9">
      <c r="C199" s="244"/>
      <c r="D199" s="244"/>
      <c r="E199" s="244"/>
      <c r="F199" s="244"/>
      <c r="G199" s="244"/>
      <c r="H199" s="244"/>
      <c r="I199" s="245"/>
    </row>
    <row r="200" spans="3:9">
      <c r="C200" s="244"/>
      <c r="D200" s="244"/>
      <c r="E200" s="244"/>
      <c r="F200" s="244"/>
      <c r="G200" s="244"/>
      <c r="H200" s="244"/>
      <c r="I200" s="245"/>
    </row>
    <row r="201" spans="3:9">
      <c r="C201" s="244"/>
      <c r="D201" s="244"/>
      <c r="E201" s="244"/>
      <c r="F201" s="244"/>
      <c r="G201" s="244"/>
      <c r="H201" s="244"/>
      <c r="I201" s="245"/>
    </row>
    <row r="202" spans="3:9">
      <c r="C202" s="244"/>
      <c r="D202" s="244"/>
      <c r="E202" s="244"/>
      <c r="F202" s="244"/>
      <c r="G202" s="244"/>
      <c r="H202" s="244"/>
      <c r="I202" s="245"/>
    </row>
    <row r="203" spans="3:9">
      <c r="C203" s="244"/>
      <c r="D203" s="244"/>
      <c r="E203" s="244"/>
      <c r="F203" s="244"/>
      <c r="G203" s="244"/>
      <c r="H203" s="244"/>
      <c r="I203" s="245"/>
    </row>
    <row r="204" spans="3:9">
      <c r="C204" s="244"/>
      <c r="D204" s="244"/>
      <c r="E204" s="244"/>
      <c r="F204" s="244"/>
      <c r="G204" s="244"/>
      <c r="H204" s="244"/>
      <c r="I204" s="245"/>
    </row>
    <row r="205" spans="3:9">
      <c r="C205" s="244"/>
      <c r="D205" s="244"/>
      <c r="E205" s="244"/>
      <c r="F205" s="244"/>
      <c r="G205" s="244"/>
      <c r="H205" s="244"/>
      <c r="I205" s="245"/>
    </row>
    <row r="206" spans="3:9">
      <c r="C206" s="244"/>
      <c r="D206" s="244"/>
      <c r="E206" s="244"/>
      <c r="F206" s="244"/>
      <c r="G206" s="244"/>
      <c r="H206" s="244"/>
      <c r="I206" s="245"/>
    </row>
    <row r="207" spans="3:9">
      <c r="C207" s="244"/>
      <c r="D207" s="244"/>
      <c r="E207" s="244"/>
      <c r="F207" s="244"/>
      <c r="G207" s="244"/>
      <c r="H207" s="244"/>
      <c r="I207" s="245"/>
    </row>
    <row r="208" spans="3:9">
      <c r="C208" s="244"/>
      <c r="D208" s="244"/>
      <c r="E208" s="244"/>
      <c r="F208" s="244"/>
      <c r="G208" s="244"/>
      <c r="H208" s="244"/>
      <c r="I208" s="245"/>
    </row>
    <row r="209" spans="3:9">
      <c r="C209" s="244"/>
      <c r="D209" s="244"/>
      <c r="E209" s="244"/>
      <c r="F209" s="244"/>
      <c r="G209" s="244"/>
      <c r="H209" s="244"/>
      <c r="I209" s="245"/>
    </row>
    <row r="210" spans="3:9">
      <c r="C210" s="244"/>
      <c r="D210" s="244"/>
      <c r="E210" s="244"/>
      <c r="F210" s="244"/>
      <c r="G210" s="244"/>
      <c r="H210" s="244"/>
      <c r="I210" s="245"/>
    </row>
    <row r="211" spans="3:9">
      <c r="C211" s="244"/>
      <c r="D211" s="244"/>
      <c r="E211" s="244"/>
      <c r="F211" s="244"/>
      <c r="G211" s="244"/>
      <c r="H211" s="244"/>
      <c r="I211" s="245"/>
    </row>
    <row r="212" spans="3:9">
      <c r="C212" s="244"/>
      <c r="D212" s="244"/>
      <c r="E212" s="244"/>
      <c r="F212" s="244"/>
      <c r="G212" s="244"/>
      <c r="H212" s="244"/>
      <c r="I212" s="245"/>
    </row>
    <row r="213" spans="3:9">
      <c r="C213" s="244"/>
      <c r="D213" s="244"/>
      <c r="E213" s="244"/>
      <c r="F213" s="244"/>
      <c r="G213" s="244"/>
      <c r="H213" s="244"/>
      <c r="I213" s="245"/>
    </row>
    <row r="214" spans="3:9">
      <c r="C214" s="244"/>
      <c r="D214" s="244"/>
      <c r="E214" s="244"/>
      <c r="F214" s="244"/>
      <c r="G214" s="244"/>
      <c r="H214" s="244"/>
      <c r="I214" s="245"/>
    </row>
    <row r="215" spans="3:9">
      <c r="C215" s="244"/>
      <c r="D215" s="244"/>
      <c r="E215" s="244"/>
      <c r="F215" s="244"/>
      <c r="G215" s="244"/>
      <c r="H215" s="244"/>
      <c r="I215" s="245"/>
    </row>
    <row r="216" spans="3:9">
      <c r="C216" s="244"/>
      <c r="D216" s="244"/>
      <c r="E216" s="244"/>
      <c r="F216" s="244"/>
      <c r="G216" s="244"/>
      <c r="H216" s="244"/>
      <c r="I216" s="245"/>
    </row>
    <row r="217" spans="3:9">
      <c r="C217" s="244"/>
      <c r="D217" s="244"/>
      <c r="E217" s="244"/>
      <c r="F217" s="244"/>
      <c r="G217" s="244"/>
      <c r="H217" s="244"/>
      <c r="I217" s="245"/>
    </row>
    <row r="218" spans="3:9">
      <c r="C218" s="244"/>
      <c r="D218" s="244"/>
      <c r="E218" s="244"/>
      <c r="F218" s="244"/>
      <c r="G218" s="244"/>
      <c r="H218" s="244"/>
      <c r="I218" s="245"/>
    </row>
    <row r="219" spans="3:9">
      <c r="C219" s="244"/>
      <c r="D219" s="244"/>
      <c r="E219" s="244"/>
      <c r="F219" s="244"/>
      <c r="G219" s="244"/>
      <c r="H219" s="244"/>
      <c r="I219" s="245"/>
    </row>
    <row r="220" spans="3:9">
      <c r="C220" s="244"/>
      <c r="D220" s="244"/>
      <c r="E220" s="244"/>
      <c r="F220" s="244"/>
      <c r="G220" s="244"/>
      <c r="H220" s="244"/>
      <c r="I220" s="245"/>
    </row>
    <row r="221" spans="3:9">
      <c r="C221" s="244"/>
      <c r="D221" s="244"/>
      <c r="E221" s="244"/>
      <c r="F221" s="244"/>
      <c r="G221" s="244"/>
      <c r="H221" s="244"/>
      <c r="I221" s="245"/>
    </row>
    <row r="222" spans="3:9">
      <c r="C222" s="244"/>
      <c r="D222" s="244"/>
      <c r="E222" s="244"/>
      <c r="F222" s="244"/>
      <c r="G222" s="244"/>
      <c r="H222" s="244"/>
      <c r="I222" s="245"/>
    </row>
    <row r="223" spans="3:9">
      <c r="C223" s="244"/>
      <c r="D223" s="244"/>
      <c r="E223" s="244"/>
      <c r="F223" s="244"/>
      <c r="G223" s="244"/>
      <c r="H223" s="244"/>
      <c r="I223" s="245"/>
    </row>
    <row r="224" spans="3:9">
      <c r="C224" s="244"/>
      <c r="D224" s="244"/>
      <c r="E224" s="244"/>
      <c r="F224" s="244"/>
      <c r="G224" s="244"/>
      <c r="H224" s="244"/>
      <c r="I224" s="245"/>
    </row>
    <row r="225" spans="3:9">
      <c r="C225" s="244"/>
      <c r="D225" s="244"/>
      <c r="E225" s="244"/>
      <c r="F225" s="244"/>
      <c r="G225" s="244"/>
      <c r="H225" s="244"/>
      <c r="I225" s="245"/>
    </row>
    <row r="226" spans="3:9">
      <c r="C226" s="244"/>
      <c r="D226" s="244"/>
      <c r="E226" s="244"/>
      <c r="F226" s="244"/>
      <c r="G226" s="244"/>
      <c r="H226" s="244"/>
      <c r="I226" s="245"/>
    </row>
    <row r="227" spans="3:9">
      <c r="C227" s="244"/>
      <c r="D227" s="244"/>
      <c r="E227" s="244"/>
      <c r="F227" s="244"/>
      <c r="G227" s="244"/>
      <c r="H227" s="244"/>
      <c r="I227" s="245"/>
    </row>
    <row r="228" spans="3:9">
      <c r="C228" s="244"/>
      <c r="D228" s="244"/>
      <c r="E228" s="244"/>
      <c r="F228" s="244"/>
      <c r="G228" s="244"/>
      <c r="H228" s="244"/>
      <c r="I228" s="245"/>
    </row>
    <row r="229" spans="3:9">
      <c r="C229" s="244"/>
      <c r="D229" s="244"/>
      <c r="E229" s="244"/>
      <c r="F229" s="244"/>
      <c r="G229" s="244"/>
      <c r="H229" s="244"/>
      <c r="I229" s="245"/>
    </row>
    <row r="230" spans="3:9">
      <c r="C230" s="244"/>
      <c r="D230" s="244"/>
      <c r="E230" s="244"/>
      <c r="F230" s="244"/>
      <c r="G230" s="244"/>
      <c r="H230" s="244"/>
      <c r="I230" s="245"/>
    </row>
    <row r="231" spans="3:9">
      <c r="C231" s="244"/>
      <c r="D231" s="244"/>
      <c r="E231" s="244"/>
      <c r="F231" s="244"/>
      <c r="G231" s="244"/>
      <c r="H231" s="244"/>
      <c r="I231" s="245"/>
    </row>
    <row r="232" spans="3:9">
      <c r="C232" s="244"/>
      <c r="D232" s="244"/>
      <c r="E232" s="244"/>
      <c r="F232" s="244"/>
      <c r="G232" s="244"/>
      <c r="H232" s="244"/>
      <c r="I232" s="245"/>
    </row>
    <row r="233" spans="3:9">
      <c r="C233" s="244"/>
      <c r="D233" s="244"/>
      <c r="E233" s="244"/>
      <c r="F233" s="244"/>
      <c r="G233" s="244"/>
      <c r="H233" s="244"/>
      <c r="I233" s="245"/>
    </row>
    <row r="234" spans="3:9">
      <c r="C234" s="244"/>
      <c r="D234" s="244"/>
      <c r="E234" s="244"/>
      <c r="F234" s="244"/>
      <c r="G234" s="244"/>
      <c r="H234" s="244"/>
      <c r="I234" s="245"/>
    </row>
    <row r="235" spans="3:9">
      <c r="C235" s="244"/>
      <c r="D235" s="244"/>
      <c r="E235" s="244"/>
      <c r="F235" s="244"/>
      <c r="G235" s="244"/>
      <c r="H235" s="244"/>
      <c r="I235" s="245"/>
    </row>
    <row r="236" spans="3:9">
      <c r="C236" s="244"/>
      <c r="D236" s="244"/>
      <c r="E236" s="244"/>
      <c r="F236" s="244"/>
      <c r="G236" s="244"/>
      <c r="H236" s="244"/>
      <c r="I236" s="245"/>
    </row>
    <row r="237" spans="3:9">
      <c r="C237" s="244"/>
      <c r="D237" s="244"/>
      <c r="E237" s="244"/>
      <c r="F237" s="244"/>
      <c r="G237" s="244"/>
      <c r="H237" s="244"/>
      <c r="I237" s="245"/>
    </row>
    <row r="238" spans="3:9">
      <c r="C238" s="244"/>
      <c r="D238" s="244"/>
      <c r="E238" s="244"/>
      <c r="F238" s="244"/>
      <c r="G238" s="244"/>
      <c r="H238" s="244"/>
      <c r="I238" s="245"/>
    </row>
    <row r="239" spans="3:9">
      <c r="C239" s="244"/>
      <c r="D239" s="244"/>
      <c r="E239" s="244"/>
      <c r="F239" s="244"/>
      <c r="G239" s="244"/>
      <c r="H239" s="244"/>
      <c r="I239" s="245"/>
    </row>
    <row r="240" spans="3:9">
      <c r="C240" s="244"/>
      <c r="D240" s="244"/>
      <c r="E240" s="244"/>
      <c r="F240" s="244"/>
      <c r="G240" s="244"/>
      <c r="H240" s="244"/>
      <c r="I240" s="245"/>
    </row>
    <row r="241" spans="3:9">
      <c r="C241" s="244"/>
      <c r="D241" s="244"/>
      <c r="E241" s="244"/>
      <c r="F241" s="244"/>
      <c r="G241" s="244"/>
      <c r="H241" s="244"/>
      <c r="I241" s="245"/>
    </row>
    <row r="242" spans="3:9">
      <c r="C242" s="244"/>
      <c r="D242" s="244"/>
      <c r="E242" s="244"/>
      <c r="F242" s="244"/>
      <c r="G242" s="244"/>
      <c r="H242" s="244"/>
      <c r="I242" s="245"/>
    </row>
    <row r="243" spans="3:9">
      <c r="C243" s="244"/>
      <c r="D243" s="244"/>
      <c r="E243" s="244"/>
      <c r="F243" s="244"/>
      <c r="G243" s="244"/>
      <c r="H243" s="244"/>
      <c r="I243" s="245"/>
    </row>
    <row r="244" spans="3:9">
      <c r="C244" s="244"/>
      <c r="D244" s="244"/>
      <c r="E244" s="244"/>
      <c r="F244" s="244"/>
      <c r="G244" s="244"/>
      <c r="H244" s="244"/>
      <c r="I244" s="245"/>
    </row>
    <row r="245" spans="3:9">
      <c r="C245" s="244"/>
      <c r="D245" s="244"/>
      <c r="E245" s="244"/>
      <c r="F245" s="244"/>
      <c r="G245" s="244"/>
      <c r="H245" s="244"/>
      <c r="I245" s="245"/>
    </row>
    <row r="246" spans="3:9">
      <c r="C246" s="244"/>
      <c r="D246" s="244"/>
      <c r="E246" s="244"/>
      <c r="F246" s="244"/>
      <c r="G246" s="244"/>
      <c r="H246" s="244"/>
      <c r="I246" s="245"/>
    </row>
    <row r="247" spans="3:9">
      <c r="C247" s="244"/>
      <c r="D247" s="244"/>
      <c r="E247" s="244"/>
      <c r="F247" s="244"/>
      <c r="G247" s="244"/>
      <c r="H247" s="244"/>
      <c r="I247" s="245"/>
    </row>
    <row r="248" spans="3:9">
      <c r="C248" s="244"/>
      <c r="D248" s="244"/>
      <c r="E248" s="244"/>
      <c r="F248" s="244"/>
      <c r="G248" s="244"/>
      <c r="H248" s="244"/>
      <c r="I248" s="245"/>
    </row>
    <row r="249" spans="3:9">
      <c r="C249" s="244"/>
      <c r="D249" s="244"/>
      <c r="E249" s="244"/>
      <c r="F249" s="244"/>
      <c r="G249" s="244"/>
      <c r="H249" s="244"/>
      <c r="I249" s="245"/>
    </row>
    <row r="250" spans="3:9">
      <c r="C250" s="244"/>
      <c r="D250" s="244"/>
      <c r="E250" s="244"/>
      <c r="F250" s="244"/>
      <c r="G250" s="244"/>
      <c r="H250" s="244"/>
      <c r="I250" s="245"/>
    </row>
    <row r="251" spans="3:9">
      <c r="C251" s="244"/>
      <c r="D251" s="244"/>
      <c r="E251" s="244"/>
      <c r="F251" s="244"/>
      <c r="G251" s="244"/>
      <c r="H251" s="244"/>
      <c r="I251" s="245"/>
    </row>
    <row r="252" spans="3:9">
      <c r="C252" s="244"/>
      <c r="D252" s="244"/>
      <c r="E252" s="244"/>
      <c r="F252" s="244"/>
      <c r="G252" s="244"/>
      <c r="H252" s="244"/>
      <c r="I252" s="245"/>
    </row>
    <row r="253" spans="3:9">
      <c r="C253" s="244"/>
      <c r="D253" s="244"/>
      <c r="E253" s="244"/>
      <c r="F253" s="244"/>
      <c r="G253" s="244"/>
      <c r="H253" s="244"/>
      <c r="I253" s="245"/>
    </row>
    <row r="254" spans="3:9">
      <c r="C254" s="244"/>
      <c r="D254" s="244"/>
      <c r="E254" s="244"/>
      <c r="F254" s="244"/>
      <c r="G254" s="244"/>
      <c r="H254" s="244"/>
      <c r="I254" s="245"/>
    </row>
    <row r="255" spans="3:9">
      <c r="C255" s="244"/>
      <c r="D255" s="244"/>
      <c r="E255" s="244"/>
      <c r="F255" s="244"/>
      <c r="G255" s="244"/>
      <c r="H255" s="244"/>
      <c r="I255" s="245"/>
    </row>
    <row r="256" spans="3:9">
      <c r="C256" s="244"/>
      <c r="D256" s="244"/>
      <c r="E256" s="244"/>
      <c r="F256" s="244"/>
      <c r="G256" s="244"/>
      <c r="H256" s="244"/>
      <c r="I256" s="245"/>
    </row>
    <row r="257" spans="3:9">
      <c r="C257" s="244"/>
      <c r="D257" s="244"/>
      <c r="E257" s="244"/>
      <c r="F257" s="244"/>
      <c r="G257" s="244"/>
      <c r="H257" s="244"/>
      <c r="I257" s="245"/>
    </row>
    <row r="258" spans="3:9">
      <c r="C258" s="244"/>
      <c r="D258" s="244"/>
      <c r="E258" s="244"/>
      <c r="F258" s="244"/>
      <c r="G258" s="244"/>
      <c r="H258" s="244"/>
      <c r="I258" s="245"/>
    </row>
    <row r="259" spans="3:9">
      <c r="C259" s="244"/>
      <c r="D259" s="244"/>
      <c r="E259" s="244"/>
      <c r="F259" s="244"/>
      <c r="G259" s="244"/>
      <c r="H259" s="244"/>
      <c r="I259" s="245"/>
    </row>
    <row r="260" spans="3:9">
      <c r="C260" s="244"/>
      <c r="D260" s="244"/>
      <c r="E260" s="244"/>
      <c r="F260" s="244"/>
      <c r="G260" s="244"/>
      <c r="H260" s="244"/>
      <c r="I260" s="245"/>
    </row>
    <row r="261" spans="3:9">
      <c r="C261" s="244"/>
      <c r="D261" s="244"/>
      <c r="E261" s="244"/>
      <c r="F261" s="244"/>
      <c r="G261" s="244"/>
      <c r="H261" s="244"/>
      <c r="I261" s="245"/>
    </row>
    <row r="262" spans="3:9">
      <c r="C262" s="244"/>
      <c r="D262" s="244"/>
      <c r="E262" s="244"/>
      <c r="F262" s="244"/>
      <c r="G262" s="244"/>
      <c r="H262" s="244"/>
      <c r="I262" s="245"/>
    </row>
    <row r="263" spans="3:9">
      <c r="C263" s="244"/>
      <c r="D263" s="244"/>
      <c r="E263" s="244"/>
      <c r="F263" s="244"/>
      <c r="G263" s="244"/>
      <c r="H263" s="244"/>
      <c r="I263" s="245"/>
    </row>
    <row r="264" spans="3:9">
      <c r="C264" s="244"/>
      <c r="D264" s="244"/>
      <c r="E264" s="244"/>
      <c r="F264" s="244"/>
      <c r="G264" s="244"/>
      <c r="H264" s="244"/>
      <c r="I264" s="245"/>
    </row>
    <row r="265" spans="3:9">
      <c r="C265" s="244"/>
      <c r="D265" s="244"/>
      <c r="E265" s="244"/>
      <c r="F265" s="244"/>
      <c r="G265" s="244"/>
      <c r="H265" s="244"/>
      <c r="I265" s="245"/>
    </row>
    <row r="266" spans="3:9">
      <c r="C266" s="244"/>
      <c r="D266" s="244"/>
      <c r="E266" s="244"/>
      <c r="F266" s="244"/>
      <c r="G266" s="244"/>
      <c r="H266" s="244"/>
      <c r="I266" s="245"/>
    </row>
    <row r="267" spans="3:9">
      <c r="C267" s="244"/>
      <c r="D267" s="244"/>
      <c r="E267" s="244"/>
      <c r="F267" s="244"/>
      <c r="G267" s="244"/>
      <c r="H267" s="244"/>
      <c r="I267" s="245"/>
    </row>
    <row r="268" spans="3:9">
      <c r="C268" s="244"/>
      <c r="D268" s="244"/>
      <c r="E268" s="244"/>
      <c r="F268" s="244"/>
      <c r="G268" s="244"/>
      <c r="H268" s="244"/>
      <c r="I268" s="245"/>
    </row>
    <row r="269" spans="3:9">
      <c r="C269" s="244"/>
      <c r="D269" s="244"/>
      <c r="E269" s="244"/>
      <c r="F269" s="244"/>
      <c r="G269" s="244"/>
      <c r="H269" s="244"/>
      <c r="I269" s="245"/>
    </row>
    <row r="270" spans="3:9">
      <c r="C270" s="244"/>
      <c r="D270" s="244"/>
      <c r="E270" s="244"/>
      <c r="F270" s="244"/>
      <c r="G270" s="244"/>
      <c r="H270" s="244"/>
      <c r="I270" s="245"/>
    </row>
    <row r="271" spans="3:9">
      <c r="C271" s="244"/>
      <c r="D271" s="244"/>
      <c r="E271" s="244"/>
      <c r="F271" s="244"/>
      <c r="G271" s="244"/>
      <c r="H271" s="244"/>
      <c r="I271" s="245"/>
    </row>
    <row r="272" spans="3:9">
      <c r="C272" s="244"/>
      <c r="D272" s="244"/>
      <c r="E272" s="244"/>
      <c r="F272" s="244"/>
      <c r="G272" s="244"/>
      <c r="H272" s="244"/>
      <c r="I272" s="245"/>
    </row>
    <row r="273" spans="3:9">
      <c r="C273" s="244"/>
      <c r="D273" s="244"/>
      <c r="E273" s="244"/>
      <c r="F273" s="244"/>
      <c r="G273" s="244"/>
      <c r="H273" s="244"/>
      <c r="I273" s="245"/>
    </row>
    <row r="274" spans="3:9">
      <c r="C274" s="244"/>
      <c r="D274" s="244"/>
      <c r="E274" s="244"/>
      <c r="F274" s="244"/>
      <c r="G274" s="244"/>
      <c r="H274" s="244"/>
      <c r="I274" s="245"/>
    </row>
    <row r="275" spans="3:9">
      <c r="C275" s="244"/>
      <c r="D275" s="244"/>
      <c r="E275" s="244"/>
      <c r="F275" s="244"/>
      <c r="G275" s="244"/>
      <c r="H275" s="244"/>
      <c r="I275" s="245"/>
    </row>
  </sheetData>
  <mergeCells count="30">
    <mergeCell ref="C30:E30"/>
    <mergeCell ref="F30:H30"/>
    <mergeCell ref="J5:W5"/>
    <mergeCell ref="Y5:AU5"/>
    <mergeCell ref="AW5:BW5"/>
    <mergeCell ref="C6:E6"/>
    <mergeCell ref="F6:H6"/>
    <mergeCell ref="J17:W17"/>
    <mergeCell ref="Y17:AU17"/>
    <mergeCell ref="AW17:BW17"/>
    <mergeCell ref="C18:E18"/>
    <mergeCell ref="F18:H18"/>
    <mergeCell ref="J29:W29"/>
    <mergeCell ref="Y29:AU29"/>
    <mergeCell ref="AW29:BW29"/>
    <mergeCell ref="Y65:AU65"/>
    <mergeCell ref="AW65:BW65"/>
    <mergeCell ref="C66:E66"/>
    <mergeCell ref="F66:H66"/>
    <mergeCell ref="J41:W41"/>
    <mergeCell ref="Y41:AU41"/>
    <mergeCell ref="AW41:BW41"/>
    <mergeCell ref="C42:E42"/>
    <mergeCell ref="F42:H42"/>
    <mergeCell ref="J53:W53"/>
    <mergeCell ref="Y53:AU53"/>
    <mergeCell ref="AW53:BW53"/>
    <mergeCell ref="C54:E54"/>
    <mergeCell ref="F54:H54"/>
    <mergeCell ref="J65:W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Mort</vt:lpstr>
      <vt:lpstr>IAM fatal</vt:lpstr>
      <vt:lpstr>IAM no f</vt:lpstr>
      <vt:lpstr>EnfCor</vt:lpstr>
      <vt:lpstr>ACV</vt:lpstr>
      <vt:lpstr>HIpoGlucGrav</vt:lpstr>
      <vt:lpstr>Cálculo 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2015-02-25T17:06:00Z</dcterms:created>
  <dcterms:modified xsi:type="dcterms:W3CDTF">2019-10-09T16:04:02Z</dcterms:modified>
</cp:coreProperties>
</file>